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KqxG6vBIYojvAbGjGaIQ+S69onbk/cvjB8paDcWKVHx9E/fQNbu1a+SXPGdGUW9PNAYJbna6dzq4n+KH+tUqpA==" workbookSaltValue="pDyVFl781O5IsnV5eLW3pw=="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BG16" i="8" s="1"/>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U10" i="17"/>
  <c r="BU18" i="17"/>
  <c r="BV20" i="16"/>
  <c r="T14" i="16"/>
  <c r="AZ22" i="11"/>
  <c r="X16" i="17"/>
  <c r="P16" i="17"/>
  <c r="AQ10" i="21"/>
  <c r="AO29" i="17"/>
  <c r="S10" i="17"/>
  <c r="BI29" i="11"/>
  <c r="BG17" i="11"/>
  <c r="BM21" i="11"/>
  <c r="AO25" i="17"/>
  <c r="BJ17" i="11"/>
  <c r="BL17" i="11"/>
  <c r="T14" i="20"/>
  <c r="BH22" i="11"/>
  <c r="BF25" i="8"/>
  <c r="AY14" i="8"/>
  <c r="BD9" i="8"/>
  <c r="BF9" i="8"/>
  <c r="L10" i="2"/>
  <c r="C30" i="7"/>
  <c r="S17" i="17"/>
  <c r="L25" i="2"/>
  <c r="X10" i="21"/>
  <c r="AO14" i="21"/>
  <c r="L19" i="2"/>
  <c r="L9" i="2"/>
  <c r="AP14" i="16"/>
  <c r="V25" i="16"/>
  <c r="T23" i="17"/>
  <c r="T26" i="17" s="1"/>
  <c r="T30" i="17" s="1"/>
  <c r="BG16" i="13"/>
  <c r="BE17" i="13"/>
  <c r="BE16" i="13"/>
  <c r="X32" i="20"/>
  <c r="G30" i="14"/>
  <c r="G23" i="14"/>
  <c r="BF17" i="8" l="1"/>
  <c r="BD12" i="8"/>
  <c r="AK31" i="8"/>
  <c r="X13" i="16"/>
  <c r="U9" i="17"/>
  <c r="U31" i="17" s="1"/>
  <c r="L13" i="2"/>
  <c r="L12" i="2"/>
  <c r="S16" i="17"/>
  <c r="X21" i="20"/>
  <c r="L28" i="2"/>
  <c r="BK22" i="11"/>
  <c r="BH12" i="16"/>
  <c r="BM9" i="11"/>
  <c r="S18" i="17"/>
  <c r="BH11" i="11"/>
  <c r="BH10" i="16"/>
  <c r="BL10" i="11"/>
  <c r="BL28" i="11"/>
  <c r="BF12" i="11"/>
  <c r="T17" i="11"/>
  <c r="R28" i="14"/>
  <c r="S11" i="17"/>
  <c r="BV10" i="16"/>
  <c r="BW16" i="20"/>
  <c r="BW17" i="20"/>
  <c r="BU21" i="17"/>
  <c r="BU11" i="17"/>
  <c r="BJ28" i="11"/>
  <c r="AZ9" i="11"/>
  <c r="AZ14" i="11" s="1"/>
  <c r="AZ13" i="11"/>
  <c r="BI19" i="11"/>
  <c r="BI25" i="11"/>
  <c r="BG22" i="11"/>
  <c r="Q18" i="20"/>
  <c r="Q23" i="20" s="1"/>
  <c r="V16" i="11"/>
  <c r="Z14" i="17"/>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G14" i="14"/>
  <c r="AC32" i="20"/>
  <c r="Z32" i="20"/>
  <c r="T32" i="20"/>
  <c r="AM32" i="20"/>
  <c r="Q32" i="20"/>
  <c r="W32" i="21"/>
  <c r="E32" i="20"/>
  <c r="AV32" i="20"/>
  <c r="O32" i="20"/>
  <c r="AQ32" i="21"/>
  <c r="Y32" i="20"/>
  <c r="L32" i="20"/>
  <c r="AJ32" i="20"/>
  <c r="AH32" i="20"/>
  <c r="I32" i="20"/>
  <c r="O18" i="11"/>
  <c r="AB32" i="20"/>
  <c r="AI32" i="20"/>
  <c r="S32" i="20"/>
  <c r="R32" i="20"/>
  <c r="N32" i="20"/>
  <c r="AA32" i="20"/>
  <c r="AN32" i="20"/>
  <c r="Q9" i="11" l="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H32" i="2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AO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<sst xmlns="http://schemas.openxmlformats.org/spreadsheetml/2006/main" count="2682" uniqueCount="1193">
  <si>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</si>
  <si>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</si>
  <si>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</si>
  <si>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</si>
  <si>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</si>
  <si>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</si>
  <si>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</si>
  <si>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</si>
  <si>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</si>
  <si>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</si>
  <si>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</si>
  <si>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</si>
  <si>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</si>
  <si>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</si>
  <si>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</si>
  <si>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</si>
  <si>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</si>
  <si>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</si>
  <si>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</si>
  <si>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</si>
  <si>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</si>
  <si>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</si>
  <si>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</si>
  <si>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</si>
  <si>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</si>
  <si>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</si>
  <si>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</si>
  <si>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</si>
  <si>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</si>
  <si>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</si>
  <si>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</si>
  <si>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</si>
  <si>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</si>
  <si>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</si>
  <si>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</si>
  <si>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</si>
  <si>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</si>
  <si>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</si>
  <si>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</si>
  <si>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</si>
  <si>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</si>
  <si>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</si>
  <si>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</si>
  <si>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</si>
  <si>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</si>
  <si>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</si>
  <si>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</si>
  <si>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</si>
  <si>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</si>
  <si>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</si>
  <si>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</si>
  <si>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</si>
  <si>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</si>
  <si>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</si>
  <si>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</si>
  <si>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</si>
  <si>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</si>
  <si>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</si>
  <si>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</si>
  <si>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</si>
  <si>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</si>
  <si>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</si>
  <si>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</si>
  <si>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</si>
  <si>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</si>
  <si>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</si>
  <si>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</si>
  <si>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</si>
  <si>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</si>
  <si>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</si>
  <si>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</si>
  <si>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</si>
  <si>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</si>
  <si>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</si>
  <si>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</si>
  <si>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</si>
  <si>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</si>
  <si>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</si>
  <si>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</si>
  <si>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</si>
  <si>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</si>
  <si>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</si>
  <si>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</si>
  <si>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</si>
  <si>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</si>
  <si>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</si>
  <si>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</si>
  <si>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</si>
  <si>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</si>
  <si>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</si>
  <si>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</si>
  <si>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</si>
  <si>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</si>
  <si>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</si>
  <si>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</si>
  <si>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</si>
  <si>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</si>
  <si>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</si>
  <si>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</si>
  <si>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</si>
  <si>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</si>
  <si>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</si>
  <si>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</si>
  <si>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</si>
  <si>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</si>
  <si>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</si>
  <si>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</si>
  <si>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</si>
  <si>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</si>
  <si>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</si>
  <si>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</si>
  <si>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</si>
  <si>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</si>
  <si>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</si>
  <si>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</si>
  <si>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</si>
  <si>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</si>
  <si>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</si>
  <si>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</si>
  <si>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</si>
  <si>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</si>
  <si>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</si>
  <si>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</si>
  <si>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</si>
  <si>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</si>
  <si>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</si>
  <si>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</si>
  <si>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</si>
  <si>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</si>
  <si>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</si>
  <si>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</si>
  <si>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</si>
  <si>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</si>
  <si>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</si>
  <si>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</si>
  <si>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</si>
  <si>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</si>
  <si>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</si>
  <si>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</si>
  <si>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</si>
  <si>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</si>
  <si>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</si>
  <si>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</si>
  <si>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</si>
  <si>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</si>
  <si>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</si>
  <si>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</si>
  <si>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</si>
  <si>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</si>
  <si>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</si>
  <si>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</si>
  <si>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</si>
  <si>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</si>
  <si>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</si>
  <si>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</si>
  <si>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</si>
  <si>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</si>
  <si>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</si>
  <si>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</si>
  <si>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</si>
  <si>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</si>
  <si>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</si>
  <si>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</si>
  <si>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</si>
  <si>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</si>
  <si>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</si>
  <si>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</si>
  <si>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</si>
  <si>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</si>
  <si>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</si>
  <si>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</si>
  <si>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</si>
  <si>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</si>
  <si>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</si>
  <si>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</si>
  <si>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</si>
  <si>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</si>
  <si>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</si>
  <si>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</si>
  <si>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</si>
  <si>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</si>
  <si>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</si>
  <si>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</si>
  <si>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</si>
  <si>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</si>
  <si>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</si>
  <si>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</si>
  <si>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</si>
  <si>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</si>
  <si>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</si>
  <si>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</si>
  <si>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</si>
  <si>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</si>
  <si>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</si>
  <si>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</si>
  <si>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</si>
  <si>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</si>
  <si>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</si>
  <si>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</si>
  <si>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</si>
  <si>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</si>
  <si>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</si>
  <si>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</si>
  <si>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</si>
  <si>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</si>
  <si>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</si>
  <si>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</si>
  <si>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</si>
  <si>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</si>
  <si>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</si>
  <si>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</si>
  <si>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</si>
  <si>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</si>
  <si>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</si>
  <si>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</si>
  <si>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</si>
  <si>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</si>
  <si>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</si>
  <si>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</si>
  <si>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</si>
  <si>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</si>
  <si>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</si>
  <si>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</si>
  <si>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</si>
  <si>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</si>
  <si>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</si>
  <si>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</si>
  <si>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</si>
  <si>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</si>
  <si>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</si>
  <si>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</si>
  <si>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</si>
  <si>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</si>
  <si>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</si>
  <si>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</si>
  <si>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</si>
  <si>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</si>
  <si>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</si>
  <si>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</si>
  <si>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</si>
  <si>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</si>
  <si>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</si>
  <si>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</si>
  <si>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</si>
  <si>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</si>
  <si>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</si>
  <si>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</si>
  <si>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</si>
  <si>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</si>
  <si>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</si>
  <si>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</si>
  <si>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</si>
  <si>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</si>
  <si>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</si>
  <si>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</si>
  <si>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</si>
  <si>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</si>
  <si>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</si>
  <si>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</si>
  <si>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</si>
  <si>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</si>
  <si>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</si>
  <si>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</si>
  <si>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</si>
  <si>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</si>
  <si>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</si>
  <si>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</si>
  <si>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</si>
  <si>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</si>
  <si>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</si>
  <si>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</si>
  <si>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</si>
  <si>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</si>
  <si>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</si>
  <si>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</si>
  <si>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</si>
  <si>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</si>
  <si>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</si>
  <si>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</si>
  <si>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</si>
  <si>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</si>
  <si>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</si>
  <si>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</si>
  <si>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</si>
  <si>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</si>
  <si>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</si>
  <si>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</si>
  <si>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</si>
  <si>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</si>
  <si>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</si>
  <si>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</si>
  <si>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</si>
  <si>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</si>
  <si>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</si>
  <si>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</si>
  <si>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</si>
  <si>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</si>
  <si>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</si>
  <si>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</si>
  <si>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</si>
  <si>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</si>
  <si>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</si>
  <si>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</si>
  <si>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</si>
  <si>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</si>
  <si>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</si>
  <si>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</si>
  <si>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</si>
  <si>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</si>
  <si>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</si>
  <si>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</si>
  <si>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</si>
  <si>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</si>
  <si>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</si>
  <si>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</si>
  <si>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</si>
  <si>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</si>
  <si>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</si>
  <si>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</si>
  <si>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</si>
  <si>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</si>
  <si>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</si>
  <si>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</si>
  <si>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</si>
  <si>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</si>
  <si>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</si>
  <si>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</si>
  <si>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</si>
  <si>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</si>
  <si>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</si>
  <si>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</si>
  <si>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</si>
  <si>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</si>
  <si>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</si>
  <si>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</si>
  <si>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</si>
  <si>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</si>
  <si>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</si>
  <si>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</si>
  <si>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</si>
  <si>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</si>
  <si>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</si>
  <si>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</si>
  <si>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</si>
  <si>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</si>
  <si>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</si>
  <si>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</si>
  <si>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</si>
  <si>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</si>
  <si>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</si>
  <si>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</si>
  <si>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</si>
  <si>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</si>
  <si>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</si>
  <si>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</si>
  <si>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</si>
  <si>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</si>
  <si>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</si>
  <si>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</si>
  <si>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</si>
  <si>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</si>
  <si>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</si>
  <si>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</si>
  <si>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</si>
  <si>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</si>
  <si>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</si>
  <si>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</si>
  <si>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</si>
  <si>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</si>
  <si>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</si>
  <si>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</si>
  <si>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</si>
  <si>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</si>
  <si>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</si>
  <si>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</si>
  <si>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</si>
  <si>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</si>
  <si>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</si>
  <si>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</si>
  <si>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</si>
  <si>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</si>
  <si>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</si>
  <si>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</si>
  <si>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</si>
  <si>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</si>
  <si>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</si>
  <si>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</si>
  <si>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</si>
  <si>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</si>
  <si>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</si>
  <si>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</si>
  <si>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</si>
  <si>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</si>
  <si>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</si>
  <si>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</si>
  <si>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</si>
  <si>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</si>
  <si>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</si>
  <si>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</si>
  <si>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</si>
  <si>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</si>
  <si>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</si>
  <si>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</si>
  <si>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</si>
  <si>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</si>
  <si>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</si>
  <si>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</si>
  <si>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</si>
  <si>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</si>
  <si>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</si>
  <si>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</si>
  <si>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</si>
  <si>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</si>
  <si>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</si>
  <si>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</si>
  <si>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</si>
  <si>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</si>
  <si>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</si>
  <si>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</si>
  <si>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</si>
  <si>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</si>
  <si>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</si>
  <si>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</si>
  <si>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</si>
  <si>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</si>
  <si>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</si>
  <si>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</si>
  <si>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</si>
  <si>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</si>
  <si>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</si>
  <si>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</si>
  <si>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</si>
  <si>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</si>
  <si>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</si>
  <si>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</si>
  <si>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</si>
  <si>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</si>
  <si>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</si>
  <si>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</si>
  <si>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</si>
  <si>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</si>
  <si>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</si>
  <si>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</si>
  <si>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</si>
  <si>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</si>
  <si>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</si>
  <si>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</si>
  <si>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</si>
  <si>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</si>
  <si>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</si>
  <si>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</si>
  <si>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</si>
  <si>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</si>
  <si>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</si>
  <si>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</si>
  <si>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</si>
  <si>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</si>
  <si>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</si>
  <si>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</si>
  <si>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</si>
  <si>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</si>
  <si>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</si>
  <si>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</si>
  <si>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</si>
  <si>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</si>
  <si>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</si>
  <si>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</si>
  <si>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</si>
  <si>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</si>
  <si>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</si>
  <si>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</si>
  <si>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</si>
  <si>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</si>
  <si>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</si>
  <si>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</si>
  <si>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</si>
  <si>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</si>
  <si>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</si>
  <si>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</si>
  <si>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</si>
  <si>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</si>
  <si>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</si>
  <si>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</si>
  <si>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</si>
  <si>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</si>
  <si>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</si>
  <si>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</si>
  <si>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</si>
  <si>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</si>
  <si>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</si>
  <si>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</si>
  <si>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</si>
  <si>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</si>
  <si>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</si>
  <si>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</si>
  <si>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</si>
  <si>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</si>
  <si>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</si>
  <si>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</si>
  <si>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</si>
  <si>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</si>
  <si>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</si>
  <si>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</si>
  <si>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</si>
  <si>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</si>
  <si>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</si>
  <si>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</si>
  <si>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</si>
  <si>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</si>
  <si>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</si>
  <si>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</si>
  <si>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</si>
  <si>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</si>
  <si>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</si>
  <si>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</si>
  <si>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</si>
  <si>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</si>
  <si>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</si>
  <si>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</si>
  <si>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</si>
  <si>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</si>
  <si>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</si>
  <si>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</si>
  <si>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</si>
  <si>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</si>
  <si>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</si>
  <si>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</si>
  <si>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</si>
  <si>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</si>
  <si>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</si>
  <si>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</si>
  <si>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</si>
  <si>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</si>
  <si>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</si>
  <si>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</si>
  <si>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</si>
  <si>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</si>
  <si>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</si>
  <si>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</si>
  <si>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</si>
  <si>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</si>
  <si>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</si>
  <si>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</si>
  <si>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</si>
  <si>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</si>
  <si>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</si>
  <si>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</si>
  <si>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</si>
  <si>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</si>
  <si>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</si>
  <si>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</si>
  <si>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</si>
  <si>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</si>
  <si>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</si>
  <si>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</si>
  <si>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</si>
  <si>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</si>
  <si>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</si>
  <si>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</si>
  <si>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</si>
  <si>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</si>
  <si>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</si>
  <si>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</si>
  <si>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</si>
  <si>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</si>
  <si>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</si>
  <si>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</si>
  <si>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</si>
  <si>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</si>
  <si>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</si>
  <si>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</si>
  <si>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</si>
  <si>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</si>
  <si>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</si>
  <si>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</si>
  <si>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</si>
  <si>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</si>
  <si>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</si>
  <si>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</si>
  <si>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</si>
  <si>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</si>
  <si>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</si>
  <si>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</si>
  <si>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</si>
  <si>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</si>
  <si>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</si>
  <si>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</si>
  <si>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</si>
  <si>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</si>
  <si>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</si>
  <si>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</si>
  <si>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</si>
  <si>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</si>
  <si>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</si>
  <si>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</si>
  <si>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</si>
  <si>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</si>
  <si>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</si>
  <si>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</si>
  <si>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</si>
  <si>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</si>
  <si>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</si>
  <si>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</si>
  <si>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</si>
  <si>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</si>
  <si>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</si>
  <si>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</si>
  <si>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</si>
  <si>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</si>
  <si>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</si>
  <si>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</si>
  <si>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</si>
  <si>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</si>
  <si>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</si>
  <si>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</si>
  <si>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</si>
  <si>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</si>
  <si>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</si>
  <si>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</si>
  <si>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</si>
  <si>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</si>
  <si>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</si>
  <si>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</si>
  <si>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</si>
  <si>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</si>
  <si>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</si>
  <si>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</si>
  <si>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</si>
  <si>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</si>
  <si>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</si>
  <si>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</si>
  <si>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</si>
  <si>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</si>
  <si>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</si>
  <si>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</si>
  <si>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</si>
  <si>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</si>
  <si>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</si>
  <si>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</si>
  <si>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</si>
  <si>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</si>
  <si>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</si>
  <si>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</si>
  <si>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</si>
  <si>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</si>
  <si>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</si>
  <si>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</si>
  <si>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</si>
  <si>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</si>
  <si>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</si>
  <si>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</si>
  <si>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</si>
  <si>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</si>
  <si>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</si>
  <si>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</si>
  <si>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</si>
  <si>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</si>
  <si>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</si>
  <si>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</si>
  <si>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</si>
  <si>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</si>
  <si>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</si>
  <si>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</si>
  <si>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</si>
  <si>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</si>
  <si>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</si>
  <si>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</si>
  <si>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</si>
  <si>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</si>
  <si>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</si>
  <si>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</si>
  <si>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</si>
  <si>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</si>
  <si>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</si>
  <si>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</si>
  <si>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</si>
  <si>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</si>
  <si>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</si>
  <si>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</si>
  <si>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</si>
  <si>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</si>
  <si>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</si>
  <si>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</si>
  <si>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</si>
  <si>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</si>
  <si>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</si>
  <si>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</si>
  <si>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</si>
  <si>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</si>
  <si>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</si>
  <si>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</si>
  <si>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</si>
  <si>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</si>
  <si>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</si>
  <si>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</si>
  <si>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</si>
  <si>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</si>
  <si>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</si>
  <si>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</si>
  <si>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</si>
  <si>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</si>
  <si>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</si>
  <si>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</si>
  <si>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</si>
  <si>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</si>
  <si>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</si>
  <si>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</si>
  <si>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</si>
  <si>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</si>
  <si>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</si>
  <si>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</si>
  <si>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</si>
  <si>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</si>
  <si>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</si>
  <si>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</si>
  <si>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</si>
  <si>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</si>
  <si>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</si>
  <si>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</si>
  <si>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</si>
  <si>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</si>
  <si>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</si>
  <si>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</si>
  <si>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</si>
  <si>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</si>
  <si>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</si>
  <si>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</si>
  <si>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</si>
  <si>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</si>
  <si>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</si>
  <si>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</si>
  <si>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</si>
  <si>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</si>
  <si>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</si>
  <si>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</si>
  <si>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</si>
  <si>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</si>
  <si>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</si>
  <si>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</si>
  <si>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</si>
  <si>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</si>
  <si>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</si>
  <si>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</si>
  <si>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</si>
  <si>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</si>
  <si>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</si>
  <si>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</si>
  <si>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</si>
  <si>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</si>
  <si>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</si>
  <si>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</si>
  <si>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</si>
  <si>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</si>
  <si>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</si>
  <si>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</si>
  <si>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</si>
  <si>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</si>
  <si>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</si>
  <si>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</si>
  <si>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</si>
  <si>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</si>
  <si>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</si>
  <si>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</si>
  <si>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</si>
  <si>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</si>
  <si>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</si>
  <si>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</si>
  <si>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</si>
  <si>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</si>
  <si>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</si>
  <si>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</si>
  <si>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</si>
  <si>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</si>
  <si>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</si>
  <si>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</si>
  <si>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</si>
  <si>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</si>
  <si>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</si>
  <si>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</si>
  <si>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</si>
  <si>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</si>
  <si>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</si>
  <si>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</si>
  <si>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</si>
  <si>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</si>
  <si>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</si>
  <si>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</si>
  <si>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</si>
  <si>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</si>
  <si>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</si>
  <si>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</si>
  <si>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</si>
  <si>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</si>
  <si>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</si>
  <si>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</si>
  <si>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</si>
  <si>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</si>
  <si>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</si>
  <si>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</si>
  <si>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</si>
  <si>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</si>
  <si>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</si>
  <si>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</si>
  <si>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</si>
  <si>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</si>
  <si>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</si>
  <si>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</si>
  <si>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</si>
  <si>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</si>
  <si>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</si>
  <si>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</si>
  <si>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</si>
  <si>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</si>
  <si>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</si>
  <si>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</si>
  <si>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</si>
  <si>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</si>
  <si>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</si>
  <si>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</si>
  <si>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</si>
  <si>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</si>
  <si>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</si>
  <si>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</si>
  <si>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</si>
  <si>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</si>
  <si>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</si>
  <si>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</si>
  <si>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</si>
  <si>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</si>
  <si>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</si>
  <si>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</si>
  <si>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</si>
  <si>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</si>
  <si>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</si>
  <si>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</si>
  <si>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</si>
  <si>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</si>
  <si>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</si>
  <si>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</si>
  <si>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</si>
  <si>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</si>
  <si>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</si>
  <si>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</si>
  <si>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</si>
  <si>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</si>
  <si>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</si>
  <si>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</si>
  <si>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</si>
  <si>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</si>
  <si>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</si>
  <si>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</si>
  <si>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</si>
  <si>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</si>
  <si>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</si>
  <si>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</si>
  <si>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</si>
  <si>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</si>
  <si>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</si>
  <si>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</si>
  <si>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</si>
  <si>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</si>
  <si>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</si>
  <si>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</si>
  <si>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</si>
  <si>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</si>
  <si>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</si>
  <si>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</si>
  <si>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</si>
  <si>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</si>
  <si>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</si>
  <si>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</si>
  <si>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</si>
  <si>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</si>
  <si>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</si>
  <si>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</si>
  <si>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</si>
  <si>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</si>
  <si>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</si>
  <si>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</si>
  <si>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</si>
  <si>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</si>
  <si>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</si>
  <si>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</si>
  <si>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</si>
  <si>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</si>
  <si>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</si>
  <si>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</si>
  <si>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</si>
  <si>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</si>
  <si>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</si>
  <si>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</si>
  <si>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</si>
  <si>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</si>
  <si>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</si>
  <si>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</si>
  <si>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</si>
  <si>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</si>
  <si>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</si>
  <si>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</si>
  <si>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</si>
  <si>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</si>
  <si>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</si>
  <si>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</si>
  <si>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</si>
  <si>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</si>
  <si>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</si>
  <si>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</si>
  <si>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</si>
  <si>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</si>
  <si>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</si>
  <si>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</si>
  <si>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</si>
  <si>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</si>
  <si>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</si>
  <si>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</si>
  <si>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</si>
  <si>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</si>
  <si>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</si>
  <si>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</si>
  <si>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</si>
  <si>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</si>
  <si>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</si>
  <si>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</si>
  <si>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</si>
  <si>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</si>
  <si>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</si>
  <si>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</si>
  <si>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</si>
  <si>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</si>
  <si>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</si>
  <si>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</si>
  <si>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</si>
  <si>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</si>
  <si>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</si>
  <si>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</si>
  <si>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</si>
  <si>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</si>
  <si>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</si>
  <si>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</si>
  <si>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</si>
  <si>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</si>
  <si>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</si>
  <si>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</si>
  <si>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</si>
  <si>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</si>
  <si>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</si>
  <si>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</si>
  <si>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</si>
  <si>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</si>
  <si>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</si>
  <si>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</si>
  <si>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</si>
  <si>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</si>
  <si>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</si>
  <si>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</si>
  <si>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</si>
  <si>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</si>
  <si>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</si>
  <si>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</si>
  <si>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</si>
  <si>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</si>
  <si>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</si>
  <si>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</si>
  <si>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</si>
  <si>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</si>
  <si>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</si>
  <si>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</si>
  <si>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</si>
  <si>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</si>
  <si>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</si>
  <si>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</si>
  <si>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</si>
  <si>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</si>
  <si>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</si>
  <si>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</si>
  <si>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</si>
  <si>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</si>
  <si>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</si>
  <si>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</si>
  <si>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</si>
  <si>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</si>
  <si>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</si>
  <si>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</si>
  <si>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</si>
  <si>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</si>
  <si>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</si>
  <si>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</si>
  <si>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</si>
  <si>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</si>
  <si>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</si>
  <si>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</si>
  <si>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</si>
  <si>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</si>
  <si>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</si>
  <si>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</si>
  <si>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</si>
  <si>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</si>
  <si>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</si>
  <si>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</si>
  <si>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</si>
  <si>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</si>
  <si>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</si>
  <si>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</si>
  <si>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</si>
  <si>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</si>
  <si>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</si>
  <si>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</si>
  <si>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</si>
  <si>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</si>
  <si>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</si>
  <si>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</si>
  <si>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</si>
  <si>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</si>
  <si>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</si>
  <si>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</si>
  <si>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</si>
  <si>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</si>
  <si>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</si>
  <si>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</si>
  <si>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</si>
  <si>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</si>
  <si>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</si>
  <si>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</si>
  <si>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</si>
  <si>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</si>
  <si>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</si>
  <si>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</si>
  <si>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</si>
  <si>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</si>
  <si>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</si>
  <si>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</si>
  <si>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</si>
  <si>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</si>
  <si>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</si>
  <si>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</si>
  <si>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</si>
  <si>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</si>
  <si>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</si>
  <si>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</si>
  <si>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</si>
  <si>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</si>
  <si>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</si>
  <si>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</si>
  <si>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</si>
  <si>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</si>
  <si>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</si>
  <si>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</si>
  <si>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</si>
  <si>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</si>
  <si>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</si>
  <si>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</si>
  <si>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</si>
  <si>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</si>
  <si>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</si>
  <si>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</si>
  <si>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</si>
  <si>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</si>
  <si>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</si>
  <si>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</si>
  <si>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</si>
  <si>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</si>
  <si>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</si>
  <si>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</si>
  <si>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</si>
  <si>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</si>
  <si>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</si>
  <si>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</si>
  <si>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</si>
  <si>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</si>
  <si>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</si>
  <si>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</si>
  <si>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</si>
  <si>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</si>
  <si>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</si>
  <si>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</si>
  <si>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</si>
  <si>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</si>
  <si>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</si>
  <si>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</si>
  <si>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</si>
  <si>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</si>
  <si>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</si>
  <si>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</si>
  <si>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</si>
  <si>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</si>
  <si>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</si>
  <si>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</si>
  <si>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</si>
  <si>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</si>
  <si>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</si>
  <si>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</si>
  <si>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</si>
  <si>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</si>
  <si>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</si>
  <si>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</si>
  <si>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</si>
  <si>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</si>
  <si>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</si>
  <si>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</si>
  <si>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</si>
  <si>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</si>
  <si>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</si>
  <si>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</si>
  <si>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</si>
  <si>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</si>
  <si>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</si>
  <si>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</si>
  <si>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</si>
  <si>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</si>
  <si>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</si>
  <si>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</si>
  <si>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</si>
  <si>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</si>
  <si>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</si>
  <si>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</si>
  <si>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</si>
  <si>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</si>
  <si>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</si>
  <si>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</si>
  <si>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</si>
  <si>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</si>
  <si>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</si>
  <si>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</si>
  <si>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</si>
  <si>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</si>
  <si>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</si>
  <si>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</si>
  <si>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</si>
  <si>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</si>
  <si>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</si>
  <si>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</si>
  <si>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</si>
  <si>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</si>
  <si>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</si>
  <si>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</si>
  <si>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</si>
  <si>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</si>
  <si>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</si>
  <si>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</si>
  <si>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</si>
  <si>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</si>
  <si>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</si>
  <si>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</si>
  <si>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</si>
  <si>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</si>
  <si>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</si>
  <si>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</si>
  <si>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</si>
  <si>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</si>
  <si>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</si>
  <si>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</si>
  <si>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</si>
  <si>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</si>
  <si>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</si>
  <si>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</si>
  <si>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</si>
  <si>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</si>
  <si>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</si>
  <si>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</si>
  <si>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</si>
  <si>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</si>
  <si>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</si>
  <si>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</si>
  <si>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</si>
  <si>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</si>
  <si>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</si>
  <si>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</si>
  <si>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</si>
  <si>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</si>
  <si>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</si>
  <si>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</si>
  <si>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</si>
  <si>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</si>
  <si>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</si>
  <si>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</si>
  <si>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</si>
  <si>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</si>
  <si>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</si>
  <si>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</si>
  <si>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</si>
  <si>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</si>
  <si>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</si>
  <si>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</si>
  <si>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</si>
  <si>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</si>
  <si>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</si>
  <si>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</si>
  <si>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</si>
  <si>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</si>
  <si>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</si>
  <si>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</si>
  <si>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</si>
  <si>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VILLENA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</si>
</sst>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xA/yFYbvnf8M5jYAEMAeZI/QNWqy8286FImVMGQc96jgREMEzriHyE1TmRu4JHXRbaxn5eMtU+cnXr2jO9cZsQ==" saltValue="VW+9grRDi2NRlbrJNqZLt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29</v>
      </c>
      <c r="D10" s="239">
        <f>IF(ISNUMBER(Datos!I10),Datos!I10," - ")</f>
        <v>29</v>
      </c>
      <c r="E10" s="240">
        <f>IF(ISNUMBER(Datos!J10),Datos!J10," - ")</f>
        <v>14</v>
      </c>
      <c r="F10" s="240">
        <f>IF(ISNUMBER(Datos!K10),Datos!K10," - ")</f>
        <v>14</v>
      </c>
      <c r="G10" s="1390" t="str">
        <f>IF(Datos!E10&lt;&gt;"",Datos!E10,Datos!D10)</f>
        <v>37</v>
      </c>
      <c r="H10" s="241">
        <f>IF(ISNUMBER(Datos!L10),Datos!L10," - ")</f>
        <v>29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22.785714285714288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10.00052826201796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29</v>
      </c>
      <c r="D14" s="1407">
        <f>SUBTOTAL(9,D9:D13)</f>
        <v>29</v>
      </c>
      <c r="E14" s="1408">
        <f>SUBTOTAL(9,E9:E13)</f>
        <v>14</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861</v>
      </c>
      <c r="D17" s="239">
        <f>IF(ISNUMBER(IF(D_I="SI",Datos!I17,Datos!I17+Datos!AC17)),IF(D_I="SI",Datos!I17,Datos!I17+Datos!AC17)," - ")</f>
        <v>861</v>
      </c>
      <c r="E17" s="240">
        <f>IF(ISNUMBER(IF(D_I="SI",Datos!J17,Datos!J17+Datos!AD17)),IF(D_I="SI",Datos!J17,Datos!J17+Datos!AD17)," - ")</f>
        <v>2328</v>
      </c>
      <c r="F17" s="240">
        <f>IF(ISNUMBER(IF(D_I="SI",Datos!K17,Datos!K17+Datos!AE17)),IF(D_I="SI",Datos!K17,Datos!K17+Datos!AE17)," - ")</f>
        <v>2124</v>
      </c>
      <c r="G17" s="1390" t="str">
        <f>IF(Datos!E17&lt;&gt;"",Datos!E17,Datos!D17)</f>
        <v>04</v>
      </c>
      <c r="H17" s="241">
        <f>IF(ISNUMBER(IF(D_I="SI",Datos!L17,Datos!L17+Datos!AF17)),IF(D_I="SI",Datos!L17,Datos!L17+Datos!AF17)," - ")</f>
        <v>1065</v>
      </c>
      <c r="I17" s="1400" t="str">
        <f>IF(ISNUMBER(Datos!AS17/Datos!BM17),Datos!AS17/Datos!BM17," - ")</f>
        <v xml:space="preserve"> - </v>
      </c>
      <c r="J17" s="1401">
        <f>IF(ISNUMBER(Datos!BY17/Datos!CN17),Datos!BY17/Datos!CN17," - ")</f>
        <v>0</v>
      </c>
      <c r="K17" s="244">
        <f t="shared" si="3"/>
        <v>0.23693379790940766</v>
      </c>
      <c r="L17" s="1402">
        <f>IF(ISNUMBER(NºAsuntos!I17/NºAsuntos!G17),(NºAsuntos!I17/NºAsuntos!G17)*11," - ")</f>
        <v>5.5155367231638417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36</v>
      </c>
      <c r="D18" s="239">
        <f>IF(ISNUMBER(IF(D_I="SI",Datos!I18,Datos!I18+Datos!AC18)),IF(D_I="SI",Datos!I18,Datos!I18+Datos!AC18)," - ")</f>
        <v>36</v>
      </c>
      <c r="E18" s="240">
        <f>IF(ISNUMBER(IF(D_I="SI",Datos!J18,Datos!J18+Datos!AD18)),IF(D_I="SI",Datos!J18,Datos!J18+Datos!AD18)," - ")</f>
        <v>263</v>
      </c>
      <c r="F18" s="240">
        <f>IF(ISNUMBER(IF(D_I="SI",Datos!K18,Datos!K18+Datos!AE18)),IF(D_I="SI",Datos!K18,Datos!K18+Datos!AE18)," - ")</f>
        <v>265</v>
      </c>
      <c r="G18" s="1390" t="str">
        <f>IF(Datos!E18&lt;&gt;"",Datos!E18,Datos!D18)</f>
        <v>37</v>
      </c>
      <c r="H18" s="241">
        <f>IF(ISNUMBER(IF(D_I="SI",Datos!L18,Datos!L18+Datos!AF18)),IF(D_I="SI",Datos!L18,Datos!L18+Datos!AF18)," - ")</f>
        <v>34</v>
      </c>
      <c r="I18" s="1400" t="str">
        <f>IF(ISNUMBER(Datos!AS18/Datos!BM18),Datos!AS18/Datos!BM18," - ")</f>
        <v xml:space="preserve"> - </v>
      </c>
      <c r="J18" s="1401" t="str">
        <f>IF(ISNUMBER((Datos!BY18+Datos!BZ18)/Datos!CN18),(Datos!BY18+Datos!BZ18)/Datos!CN18," - ")</f>
        <v xml:space="preserve"> - </v>
      </c>
      <c r="K18" s="244">
        <f t="shared" si="3"/>
        <v>-5.5555555555555552E-2</v>
      </c>
      <c r="L18" s="1402">
        <f>IF(ISNUMBER(NºAsuntos!I18/NºAsuntos!G18),(NºAsuntos!I18/NºAsuntos!G18)*11," - ")</f>
        <v>1.411320754716981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897</v>
      </c>
      <c r="D23" s="1407">
        <f>SUBTOTAL(9,D16:D22)</f>
        <v>897</v>
      </c>
      <c r="E23" s="1408">
        <f>SUBTOTAL(9,E16:E22)</f>
        <v>2591</v>
      </c>
      <c r="F23" s="1408">
        <f>SUBTOTAL(9,F16:F22)</f>
        <v>2389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926</v>
      </c>
      <c r="D31" s="1435">
        <f>SUBTOTAL(9,D9:D30)</f>
        <v>926</v>
      </c>
      <c r="E31" s="1436">
        <f>SUBTOTAL(9,E9:E30)</f>
        <v>2605</v>
      </c>
      <c r="F31" s="1436">
        <f>SUBTOTAL(9,F9:F30)</f>
        <v>2403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3gXNsbK/ZhdYuT3vKkYyN2IzHpqVKC2cPvx8/C1k0+/7i8Y9MZSjzz2IZL3E46ChMrjD7yNCxbwkggmZEq5oPw==" saltValue="FP4R98/uTGzz68xQm3uYA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DsWHC87MukYzXvdzhf34RbVYAe0sZm08xxKorJOxHYDQ1eLCyS40H6BGvi+tYSCePhKUp3Egpsd9TFUAazoMw==" saltValue="lt+nlEAJwjNAoMNp5ZFG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29</v>
      </c>
      <c r="J10" s="194">
        <v>14</v>
      </c>
      <c r="K10" s="194">
        <v>14</v>
      </c>
      <c r="L10" s="194">
        <v>29</v>
      </c>
      <c r="M10" s="194">
        <v>14</v>
      </c>
      <c r="N10" s="194">
        <v>0</v>
      </c>
      <c r="O10" s="194">
        <v>0</v>
      </c>
      <c r="P10" s="194">
        <v>3</v>
      </c>
      <c r="Q10" s="194">
        <v>0</v>
      </c>
      <c r="R10" s="194">
        <v>19</v>
      </c>
      <c r="S10" s="194">
        <v>32</v>
      </c>
      <c r="T10" s="194">
        <v>16</v>
      </c>
      <c r="U10" s="194">
        <v>19</v>
      </c>
      <c r="V10" s="194">
        <v>29</v>
      </c>
      <c r="W10" s="194">
        <v>17</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32</v>
      </c>
      <c r="AZ10" s="139">
        <f t="shared" si="0"/>
        <v>16</v>
      </c>
      <c r="BA10" s="139">
        <f t="shared" si="0"/>
        <v>19</v>
      </c>
      <c r="BB10" s="139">
        <f t="shared" si="0"/>
        <v>29</v>
      </c>
      <c r="BC10" s="135">
        <f t="shared" si="0"/>
        <v>17</v>
      </c>
      <c r="BD10" s="136">
        <f>IF(ISNUMBER(BA10/AZ10),BA10/AZ10," - ")</f>
        <v>1.1875</v>
      </c>
      <c r="BE10" s="137">
        <f>IF(ISNUMBER(BB10/BA10),BB10/BA10, " - ")</f>
        <v>1.5263157894736843</v>
      </c>
      <c r="BF10" s="137">
        <f>IF(ISNUMBER(BC10/BA10),BC10/BA10, " - ")</f>
        <v>0.89473684210526316</v>
      </c>
      <c r="BG10" s="209">
        <f>IF(ISNUMBER((AY10+AZ10)/BA10),(AY10+AZ10)/BA10," - ")</f>
        <v>2.5263157894736841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1269</v>
      </c>
      <c r="J12" s="196">
        <v>2067</v>
      </c>
      <c r="K12" s="196">
        <v>1657</v>
      </c>
      <c r="L12" s="196">
        <v>1679</v>
      </c>
      <c r="M12" s="196">
        <v>409</v>
      </c>
      <c r="N12" s="196">
        <v>837</v>
      </c>
      <c r="O12" s="194">
        <v>787</v>
      </c>
      <c r="P12" s="196">
        <v>468</v>
      </c>
      <c r="Q12" s="196">
        <v>368</v>
      </c>
      <c r="R12" s="196">
        <v>2507</v>
      </c>
      <c r="S12" s="196">
        <v>1227</v>
      </c>
      <c r="T12" s="196">
        <v>2072</v>
      </c>
      <c r="U12" s="196">
        <v>2030</v>
      </c>
      <c r="V12" s="196">
        <v>1269</v>
      </c>
      <c r="W12" s="196">
        <v>395</v>
      </c>
      <c r="X12" s="202">
        <v>1227</v>
      </c>
      <c r="Y12" s="204">
        <v>44</v>
      </c>
      <c r="Z12" s="194">
        <v>234</v>
      </c>
      <c r="AA12" s="194">
        <v>236</v>
      </c>
      <c r="AB12" s="194">
        <v>42</v>
      </c>
      <c r="AC12" s="196">
        <v>0</v>
      </c>
      <c r="AD12" s="196">
        <v>0</v>
      </c>
      <c r="AE12" s="196">
        <v>0</v>
      </c>
      <c r="AF12" s="202">
        <v>0</v>
      </c>
      <c r="AG12" s="215">
        <v>34</v>
      </c>
      <c r="AH12" s="196">
        <v>285</v>
      </c>
      <c r="AI12" s="196">
        <v>275</v>
      </c>
      <c r="AJ12" s="216">
        <v>44</v>
      </c>
      <c r="AK12" s="195">
        <v>0</v>
      </c>
      <c r="AL12" s="196">
        <v>0</v>
      </c>
      <c r="AM12" s="196">
        <v>0</v>
      </c>
      <c r="AN12" s="202">
        <v>0</v>
      </c>
      <c r="AO12" s="283">
        <v>3</v>
      </c>
      <c r="AP12" s="168">
        <v>3</v>
      </c>
      <c r="AQ12" s="168">
        <v>3</v>
      </c>
      <c r="AR12" s="167">
        <v>3</v>
      </c>
      <c r="AS12" s="381" t="s">
        <v>1075</v>
      </c>
      <c r="AT12" s="216"/>
      <c r="AU12" s="215"/>
      <c r="AV12" s="216"/>
      <c r="AW12" s="215"/>
      <c r="AX12" s="216"/>
      <c r="AY12" s="136">
        <f t="shared" si="1"/>
        <v>1261</v>
      </c>
      <c r="AZ12" s="137">
        <f t="shared" si="1"/>
        <v>2357</v>
      </c>
      <c r="BA12" s="137">
        <f t="shared" si="1"/>
        <v>2305</v>
      </c>
      <c r="BB12" s="137">
        <f t="shared" si="1"/>
        <v>1313</v>
      </c>
      <c r="BC12" s="135">
        <f>IF(ISNUMBER(X12),X12," - ")</f>
        <v>1227</v>
      </c>
      <c r="BD12" s="136">
        <f t="shared" si="2"/>
        <v>0.97793805685193047</v>
      </c>
      <c r="BE12" s="137">
        <f t="shared" si="3"/>
        <v>0.56963123644251623</v>
      </c>
      <c r="BF12" s="137">
        <f t="shared" si="4"/>
        <v>0.53232104121475055</v>
      </c>
      <c r="BG12" s="209">
        <f t="shared" si="5"/>
        <v>1.5696312364425162</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1298</v>
      </c>
      <c r="J14" s="197">
        <f t="shared" si="7"/>
        <v>2081</v>
      </c>
      <c r="K14" s="197">
        <f t="shared" si="7"/>
        <v>1671</v>
      </c>
      <c r="L14" s="197">
        <f t="shared" si="7"/>
        <v>1708</v>
      </c>
      <c r="M14" s="197">
        <f t="shared" si="7"/>
        <v>423</v>
      </c>
      <c r="N14" s="197">
        <f t="shared" si="7"/>
        <v>837</v>
      </c>
      <c r="O14" s="197">
        <f t="shared" si="7"/>
        <v>787</v>
      </c>
      <c r="P14" s="197">
        <f t="shared" si="7"/>
        <v>471</v>
      </c>
      <c r="Q14" s="197">
        <f t="shared" si="7"/>
        <v>368</v>
      </c>
      <c r="R14" s="197">
        <f t="shared" si="7"/>
        <v>2526</v>
      </c>
      <c r="S14" s="197">
        <f t="shared" si="7"/>
        <v>1259</v>
      </c>
      <c r="T14" s="197">
        <f t="shared" si="7"/>
        <v>2088</v>
      </c>
      <c r="U14" s="197">
        <f t="shared" si="7"/>
        <v>2049</v>
      </c>
      <c r="V14" s="197">
        <f t="shared" si="7"/>
        <v>1298</v>
      </c>
      <c r="W14" s="197">
        <f t="shared" si="7"/>
        <v>412</v>
      </c>
      <c r="X14" s="197">
        <f t="shared" si="7"/>
        <v>1229</v>
      </c>
      <c r="Y14" s="197">
        <f t="shared" si="7"/>
        <v>44</v>
      </c>
      <c r="Z14" s="197">
        <f t="shared" si="7"/>
        <v>234</v>
      </c>
      <c r="AA14" s="197">
        <f t="shared" si="7"/>
        <v>236</v>
      </c>
      <c r="AB14" s="197">
        <f t="shared" si="7"/>
        <v>42</v>
      </c>
      <c r="AC14" s="197">
        <f t="shared" si="7"/>
        <v>0</v>
      </c>
      <c r="AD14" s="197">
        <f t="shared" si="7"/>
        <v>0</v>
      </c>
      <c r="AE14" s="197">
        <f t="shared" si="7"/>
        <v>0</v>
      </c>
      <c r="AF14" s="197">
        <f>SUBTOTAL(9,AF9:AF13)</f>
        <v>0</v>
      </c>
      <c r="AG14" s="197">
        <f t="shared" ref="AG14:AT14" si="8">SUBTOTAL(9,AG8:AG13)</f>
        <v>34</v>
      </c>
      <c r="AH14" s="197">
        <f t="shared" si="8"/>
        <v>285</v>
      </c>
      <c r="AI14" s="197">
        <f t="shared" si="8"/>
        <v>275</v>
      </c>
      <c r="AJ14" s="197">
        <f t="shared" si="8"/>
        <v>44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1293</v>
      </c>
      <c r="AZ14" s="197">
        <f>SUBTOTAL(9,AZ8:AZ13)</f>
        <v>2373</v>
      </c>
      <c r="BA14" s="197">
        <f>SUBTOTAL(9,BA8:BA13)</f>
        <v>2324</v>
      </c>
      <c r="BB14" s="197">
        <f>SUBTOTAL(9,BB8:BB13)</f>
        <v>1342</v>
      </c>
      <c r="BC14" s="197">
        <f>SUBTOTAL(9,BC8:BC13)</f>
        <v>1244</v>
      </c>
      <c r="BD14" s="219">
        <f>IF(ISNUMBER(BA14/AZ14),BA14/AZ14," - ")</f>
        <v>0.97935103244837762</v>
      </c>
      <c r="BE14" s="220">
        <f>IF(ISNUMBER(BB14/BA14),BB14/BA14, " - ")</f>
        <v>0.57745266781411364</v>
      </c>
      <c r="BF14" s="220">
        <f>IF(ISNUMBER(BC14/BA14),BC14/BA14, " - ")</f>
        <v>0.53528399311531838</v>
      </c>
      <c r="BG14" s="221">
        <f>IF(ISNUMBER((AY14+AZ14)/BA14),(AY14+AZ14)/BA14," - ")</f>
        <v>1.5774526678141136</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861</v>
      </c>
      <c r="J17" s="196">
        <v>2328</v>
      </c>
      <c r="K17" s="196">
        <v>2124</v>
      </c>
      <c r="L17" s="196">
        <v>1065</v>
      </c>
      <c r="M17" s="196">
        <v>217</v>
      </c>
      <c r="N17" s="196">
        <v>1226</v>
      </c>
      <c r="O17" s="194">
        <v>0</v>
      </c>
      <c r="P17" s="196">
        <v>45</v>
      </c>
      <c r="Q17" s="196">
        <v>26</v>
      </c>
      <c r="R17" s="196">
        <v>103</v>
      </c>
      <c r="S17" s="196">
        <v>835</v>
      </c>
      <c r="T17" s="196">
        <v>2017</v>
      </c>
      <c r="U17" s="196">
        <v>1995</v>
      </c>
      <c r="V17" s="196">
        <v>861</v>
      </c>
      <c r="W17" s="196">
        <v>163</v>
      </c>
      <c r="X17" s="202">
        <v>1288</v>
      </c>
      <c r="Y17" s="215">
        <v>0</v>
      </c>
      <c r="Z17" s="196">
        <v>0</v>
      </c>
      <c r="AA17" s="196">
        <v>0</v>
      </c>
      <c r="AB17" s="196">
        <v>0</v>
      </c>
      <c r="AC17" s="196">
        <v>1</v>
      </c>
      <c r="AD17" s="196">
        <v>0</v>
      </c>
      <c r="AE17" s="196">
        <v>0</v>
      </c>
      <c r="AF17" s="202">
        <v>1</v>
      </c>
      <c r="AG17" s="215">
        <v>0</v>
      </c>
      <c r="AH17" s="196">
        <v>0</v>
      </c>
      <c r="AI17" s="196">
        <v>0</v>
      </c>
      <c r="AJ17" s="216">
        <v>0</v>
      </c>
      <c r="AK17" s="195">
        <v>0</v>
      </c>
      <c r="AL17" s="196">
        <v>1</v>
      </c>
      <c r="AM17" s="196">
        <v>0</v>
      </c>
      <c r="AN17" s="202">
        <v>1</v>
      </c>
      <c r="AO17" s="283">
        <v>3</v>
      </c>
      <c r="AP17" s="168">
        <v>3</v>
      </c>
      <c r="AQ17" s="168">
        <v>3</v>
      </c>
      <c r="AR17" s="168">
        <v>3</v>
      </c>
      <c r="AS17" s="381" t="s">
        <v>650</v>
      </c>
      <c r="AT17" s="216"/>
      <c r="AU17" s="215"/>
      <c r="AV17" s="216"/>
      <c r="AW17" s="215"/>
      <c r="AX17" s="216"/>
      <c r="AY17" s="136">
        <f t="shared" si="10"/>
        <v>835</v>
      </c>
      <c r="AZ17" s="137">
        <f t="shared" si="10"/>
        <v>2017</v>
      </c>
      <c r="BA17" s="137">
        <f t="shared" si="10"/>
        <v>1995</v>
      </c>
      <c r="BB17" s="137">
        <f t="shared" si="10"/>
        <v>861</v>
      </c>
      <c r="BC17" s="135">
        <f>IF(ISNUMBER(W17),W17," - ")</f>
        <v>163</v>
      </c>
      <c r="BD17" s="136">
        <f t="shared" ref="BD17:BD22" si="12">IF(ISNUMBER(BA17/AZ17),BA17/AZ17," - ")</f>
        <v>0.98909271194843829</v>
      </c>
      <c r="BE17" s="137">
        <f t="shared" ref="BE17:BE22" si="13">IF(ISNUMBER(BB17/BA17),BB17/BA17, " - ")</f>
        <v>0.43157894736842106</v>
      </c>
      <c r="BF17" s="137">
        <f t="shared" ref="BF17:BF22" si="14">IF(ISNUMBER(BC17/BA17),BC17/BA17, " - ")</f>
        <v>8.1704260651629071E-2</v>
      </c>
      <c r="BG17" s="209">
        <f t="shared" si="11"/>
        <v>1.4295739348370928</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36</v>
      </c>
      <c r="J18" s="196">
        <v>263</v>
      </c>
      <c r="K18" s="196">
        <v>265</v>
      </c>
      <c r="L18" s="196">
        <v>34</v>
      </c>
      <c r="M18" s="196">
        <v>30</v>
      </c>
      <c r="N18" s="196">
        <v>122</v>
      </c>
      <c r="O18" s="196">
        <v>0</v>
      </c>
      <c r="P18" s="196">
        <v>0</v>
      </c>
      <c r="Q18" s="196">
        <v>0</v>
      </c>
      <c r="R18" s="196">
        <v>0</v>
      </c>
      <c r="S18" s="196">
        <v>43</v>
      </c>
      <c r="T18" s="196">
        <v>293</v>
      </c>
      <c r="U18" s="196">
        <v>303</v>
      </c>
      <c r="V18" s="196">
        <v>36</v>
      </c>
      <c r="W18" s="196">
        <v>18</v>
      </c>
      <c r="X18" s="202">
        <v>182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43</v>
      </c>
      <c r="AZ18" s="139">
        <f t="shared" si="15"/>
        <v>293</v>
      </c>
      <c r="BA18" s="139">
        <f t="shared" si="15"/>
        <v>303</v>
      </c>
      <c r="BB18" s="139">
        <f t="shared" si="15"/>
        <v>36</v>
      </c>
      <c r="BC18" s="135">
        <f>IF(ISNUMBER(W18),W18," - ")</f>
        <v>18</v>
      </c>
      <c r="BD18" s="136">
        <f>IF(ISNUMBER(BA18/AZ18),BA18/AZ18," - ")</f>
        <v>1.0341296928327646</v>
      </c>
      <c r="BE18" s="137">
        <f>IF(ISNUMBER(BB18/BA18),BB18/BA18, " - ")</f>
        <v>0.11881188118811881</v>
      </c>
      <c r="BF18" s="137">
        <f>IF(ISNUMBER(BC18/BA18),BC18/BA18, " - ")</f>
        <v>5.9405940594059403E-2</v>
      </c>
      <c r="BG18" s="209">
        <f>IF(ISNUMBER((AY18+AZ18)/BA18),(AY18+AZ18)/BA18," - ")</f>
        <v>1.108910891089109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897</v>
      </c>
      <c r="J23" s="197">
        <f t="shared" si="21"/>
        <v>2591</v>
      </c>
      <c r="K23" s="197">
        <f t="shared" si="21"/>
        <v>2389</v>
      </c>
      <c r="L23" s="197">
        <f t="shared" si="21"/>
        <v>1099</v>
      </c>
      <c r="M23" s="197">
        <f t="shared" si="21"/>
        <v>247</v>
      </c>
      <c r="N23" s="197">
        <f t="shared" si="21"/>
        <v>1348</v>
      </c>
      <c r="O23" s="197">
        <f t="shared" si="21"/>
        <v>0</v>
      </c>
      <c r="P23" s="197">
        <f t="shared" si="21"/>
        <v>45</v>
      </c>
      <c r="Q23" s="197">
        <f t="shared" si="21"/>
        <v>26</v>
      </c>
      <c r="R23" s="197">
        <f t="shared" si="21"/>
        <v>103</v>
      </c>
      <c r="S23" s="197">
        <f t="shared" si="21"/>
        <v>878</v>
      </c>
      <c r="T23" s="197">
        <f t="shared" si="21"/>
        <v>2310</v>
      </c>
      <c r="U23" s="197">
        <f t="shared" si="21"/>
        <v>2298</v>
      </c>
      <c r="V23" s="197">
        <f t="shared" si="21"/>
        <v>897</v>
      </c>
      <c r="W23" s="197">
        <f t="shared" si="21"/>
        <v>181</v>
      </c>
      <c r="X23" s="197">
        <f t="shared" si="21"/>
        <v>1470</v>
      </c>
      <c r="Y23" s="197">
        <f t="shared" si="21"/>
        <v>0</v>
      </c>
      <c r="Z23" s="197">
        <f t="shared" si="21"/>
        <v>0</v>
      </c>
      <c r="AA23" s="197">
        <f t="shared" si="21"/>
        <v>0</v>
      </c>
      <c r="AB23" s="197">
        <f t="shared" si="21"/>
        <v>0</v>
      </c>
      <c r="AC23" s="197">
        <f t="shared" si="21"/>
        <v>1</v>
      </c>
      <c r="AD23" s="197">
        <f t="shared" si="21"/>
        <v>0</v>
      </c>
      <c r="AE23" s="197">
        <f t="shared" si="21"/>
        <v>0</v>
      </c>
      <c r="AF23" s="197">
        <f t="shared" si="21"/>
        <v>1</v>
      </c>
      <c r="AG23" s="197">
        <f t="shared" si="21"/>
        <v>0</v>
      </c>
      <c r="AH23" s="197">
        <f t="shared" si="21"/>
        <v>0</v>
      </c>
      <c r="AI23" s="197">
        <f t="shared" si="21"/>
        <v>0</v>
      </c>
      <c r="AJ23" s="197">
        <f t="shared" si="21"/>
        <v>0</v>
      </c>
      <c r="AK23" s="197">
        <f t="shared" si="21"/>
        <v>0</v>
      </c>
      <c r="AL23" s="197">
        <f t="shared" si="21"/>
        <v>1</v>
      </c>
      <c r="AM23" s="197">
        <f t="shared" si="21"/>
        <v>0</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878</v>
      </c>
      <c r="AZ23" s="197">
        <f>SUBTOTAL(9,AZ15:AZ22)</f>
        <v>2310</v>
      </c>
      <c r="BA23" s="197">
        <f>SUBTOTAL(9,BA15:BA22)</f>
        <v>2298</v>
      </c>
      <c r="BB23" s="197">
        <f>SUBTOTAL(9,BB15:BB22)</f>
        <v>897</v>
      </c>
      <c r="BC23" s="197">
        <f>SUBTOTAL(9,BC15:BC22)</f>
        <v>181</v>
      </c>
      <c r="BD23" s="219">
        <f>IF(ISNUMBER(BA23/AZ23),BA23/AZ23," - ")</f>
        <v>0.9948051948051948</v>
      </c>
      <c r="BE23" s="220">
        <f>IF(ISNUMBER(BB23/BA23),BB23/BA23, " - ")</f>
        <v>0.39033942558746737</v>
      </c>
      <c r="BF23" s="220">
        <f>IF(ISNUMBER(BC23/BA23),BC23/BA23, " - ")</f>
        <v>7.876414273281114E-2</v>
      </c>
      <c r="BG23" s="221">
        <f>IF(ISNUMBER((AY23+AZ23)/BA23),(AY23+AZ23)/BA23," - ")</f>
        <v>1.3872932985204525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2195</v>
      </c>
      <c r="J31" s="144">
        <f t="shared" si="36"/>
        <v>4672</v>
      </c>
      <c r="K31" s="144">
        <f t="shared" si="36"/>
        <v>4060</v>
      </c>
      <c r="L31" s="144">
        <f t="shared" si="36"/>
        <v>2807</v>
      </c>
      <c r="M31" s="144">
        <f t="shared" si="36"/>
        <v>670</v>
      </c>
      <c r="N31" s="144">
        <f t="shared" si="36"/>
        <v>2185</v>
      </c>
      <c r="O31" s="144">
        <f t="shared" si="36"/>
        <v>787</v>
      </c>
      <c r="P31" s="144">
        <f t="shared" si="36"/>
        <v>516</v>
      </c>
      <c r="Q31" s="144">
        <f t="shared" si="36"/>
        <v>394</v>
      </c>
      <c r="R31" s="144">
        <f t="shared" si="36"/>
        <v>2629</v>
      </c>
      <c r="S31" s="144">
        <f t="shared" si="36"/>
        <v>2137</v>
      </c>
      <c r="T31" s="144">
        <f t="shared" si="36"/>
        <v>4398</v>
      </c>
      <c r="U31" s="144">
        <f t="shared" si="36"/>
        <v>4347</v>
      </c>
      <c r="V31" s="144">
        <f t="shared" si="36"/>
        <v>2195</v>
      </c>
      <c r="W31" s="144">
        <f t="shared" si="36"/>
        <v>593</v>
      </c>
      <c r="X31" s="144">
        <f t="shared" si="36"/>
        <v>2699</v>
      </c>
      <c r="Y31" s="144">
        <f t="shared" si="36"/>
        <v>44</v>
      </c>
      <c r="Z31" s="144">
        <f t="shared" si="36"/>
        <v>234</v>
      </c>
      <c r="AA31" s="144">
        <f t="shared" si="36"/>
        <v>236</v>
      </c>
      <c r="AB31" s="144">
        <f t="shared" si="36"/>
        <v>42</v>
      </c>
      <c r="AC31" s="144">
        <f t="shared" si="36"/>
        <v>1</v>
      </c>
      <c r="AD31" s="144">
        <f t="shared" si="36"/>
        <v>0</v>
      </c>
      <c r="AE31" s="144">
        <f t="shared" si="36"/>
        <v>0</v>
      </c>
      <c r="AF31" s="144">
        <f t="shared" si="36"/>
        <v>1</v>
      </c>
      <c r="AG31" s="144">
        <f t="shared" si="36"/>
        <v>34</v>
      </c>
      <c r="AH31" s="144">
        <f t="shared" si="36"/>
        <v>285</v>
      </c>
      <c r="AI31" s="144">
        <f t="shared" si="36"/>
        <v>275</v>
      </c>
      <c r="AJ31" s="144">
        <f t="shared" si="36"/>
        <v>44</v>
      </c>
      <c r="AK31" s="144">
        <f t="shared" si="36"/>
        <v>0</v>
      </c>
      <c r="AL31" s="144">
        <f t="shared" si="36"/>
        <v>1</v>
      </c>
      <c r="AM31" s="144">
        <f t="shared" si="36"/>
        <v>0</v>
      </c>
      <c r="AN31" s="224">
        <f t="shared" si="36"/>
        <v>1</v>
      </c>
      <c r="AO31" s="225">
        <v>4</v>
      </c>
      <c r="AP31" s="225">
        <v>3</v>
      </c>
      <c r="AQ31" s="225">
        <v>3</v>
      </c>
      <c r="AR31" s="225">
        <v>3</v>
      </c>
      <c r="AS31" s="166">
        <f t="shared" si="36"/>
        <v>0</v>
      </c>
      <c r="AT31" s="166">
        <f t="shared" si="36"/>
        <v>0</v>
      </c>
      <c r="AU31" s="225"/>
      <c r="AV31" s="226"/>
      <c r="AW31" s="225"/>
      <c r="AX31" s="226"/>
      <c r="AY31" s="143">
        <f>SUBTOTAL(9,AY9:AY30)</f>
        <v>2171</v>
      </c>
      <c r="AZ31" s="144">
        <f>SUBTOTAL(9,AZ9:AZ30)</f>
        <v>4683</v>
      </c>
      <c r="BA31" s="144">
        <f>SUBTOTAL(9,BA9:BA30)</f>
        <v>4622</v>
      </c>
      <c r="BB31" s="144">
        <f>SUBTOTAL(9,BB9:BB30)</f>
        <v>2239</v>
      </c>
      <c r="BC31" s="145">
        <f>SUBTOTAL(9,BC9:BC30)</f>
        <v>1425</v>
      </c>
      <c r="BD31" s="227">
        <f>IF(ISNUMBER(BA31/AZ31),BA31/AZ31," - ")</f>
        <v>0.98697416186205422</v>
      </c>
      <c r="BE31" s="224">
        <f>IF(ISNUMBER(BB31/BA31),BB31/BA31, " - ")</f>
        <v>0.48442232799653828</v>
      </c>
      <c r="BF31" s="224">
        <f>IF(ISNUMBER(BC31/BA31),BC31/BA31, " - ")</f>
        <v>0.30830809173517959</v>
      </c>
      <c r="BG31" s="145">
        <f>IF(ISNUMBER((AY31+AZ31)/BA31),(AY31+AZ31)/BA31," - ")</f>
        <v>1.4829078321073128</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0p/JAv6RIiyzgqRZggiYCk5idqtm+fcCjN6rIk4ROXGGEK7/u0wTAumRdUJce+x5BwuOsxRRepQMdSuAc8aKA==" saltValue="xsJm+P/Ec+qbHJQcMSPqd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UT6j4BjkFcj5eR2IXfmQ466l9fP77vfwprS8Q4h+GWalG2PcYSHq2AzppB5I6kp5olQeHcm3dln3xSD/IvbDg==" saltValue="TIpD0l9Skwp+JUZKvff4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VILLENA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29</v>
      </c>
      <c r="G10" s="543">
        <f>IF(ISNUMBER(Datos!I10),Datos!I10," - ")</f>
        <v>29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0</v>
      </c>
      <c r="AD10" s="549"/>
      <c r="AE10" s="563"/>
      <c r="AF10" s="551">
        <f>IF(ISNUMBER(Datos!L10),Datos!L10,"-")</f>
        <v>29</v>
      </c>
      <c r="AG10" s="549"/>
      <c r="AH10" s="549"/>
      <c r="AI10" s="549"/>
      <c r="AJ10" s="549"/>
      <c r="AK10" s="549"/>
      <c r="AL10" s="550"/>
      <c r="AM10" s="766">
        <f>IF(ISNUMBER(Datos!R10),Datos!R10," - ")</f>
        <v>19</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14</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22.785714285714288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0.1875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234</v>
      </c>
      <c r="O12" s="549"/>
      <c r="P12" s="549"/>
      <c r="Q12" s="547">
        <f>IF(ISNUMBER(Datos!P12),Datos!P12,0)</f>
        <v>468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368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42</v>
      </c>
      <c r="AI12" s="549" t="str">
        <f>IF(ISNUMBER(Datos!CD12),Datos!CD12,"-")</f>
        <v>-</v>
      </c>
      <c r="AJ12" s="549" t="str">
        <f>IF(ISNUMBER(Datos!EN12),Datos!EN12," - ")</f>
        <v xml:space="preserve"> - </v>
      </c>
      <c r="AK12" s="549"/>
      <c r="AL12" s="550"/>
      <c r="AM12" s="766">
        <f>IF(ISNUMBER(Datos!R12),Datos!R12," - ")</f>
        <v>2507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409</v>
      </c>
      <c r="BD12" s="693">
        <f>IF(ISNUMBER(Datos!N12),Datos!N12," - ")</f>
        <v>837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0.82268578878748366</v>
      </c>
      <c r="BH12" s="764">
        <f>IF(ISNUMBER(((IF(J_V="SI",Datos!L12/Datos!K12,(Datos!L12+Datos!AB12)/(Datos!K12+Datos!AA12)))*11)/factor_trimestre),((IF(J_V="SI",Datos!L12/Datos!K12,(Datos!L12+Datos!AB12)/(Datos!K12+Datos!AA12)))*11)/factor_trimestre," - ")</f>
        <v>10.00052826201796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4.1545492314083922E-2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3</v>
      </c>
      <c r="F14" s="1197">
        <f t="shared" si="1"/>
        <v>29</v>
      </c>
      <c r="G14" s="1197">
        <f t="shared" si="1"/>
        <v>29</v>
      </c>
      <c r="H14" s="1198">
        <f t="shared" si="1"/>
        <v>0</v>
      </c>
      <c r="I14" s="1197">
        <f t="shared" si="1"/>
        <v>0</v>
      </c>
      <c r="J14" s="1164">
        <f t="shared" si="1"/>
        <v>0</v>
      </c>
      <c r="K14" s="1164">
        <f t="shared" si="1"/>
        <v>0</v>
      </c>
      <c r="L14" s="1198">
        <f t="shared" si="1"/>
        <v>0</v>
      </c>
      <c r="M14" s="1198">
        <f t="shared" si="1"/>
        <v>0</v>
      </c>
      <c r="N14" s="1198">
        <f t="shared" si="1"/>
        <v>234</v>
      </c>
      <c r="O14" s="1199">
        <f t="shared" si="1"/>
        <v>0</v>
      </c>
      <c r="P14" s="1199">
        <f t="shared" si="1"/>
        <v>0</v>
      </c>
      <c r="Q14" s="1198">
        <f t="shared" si="1"/>
        <v>471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368</v>
      </c>
      <c r="AD14" s="1198">
        <f t="shared" si="2"/>
        <v>0</v>
      </c>
      <c r="AE14" s="1198">
        <f t="shared" si="2"/>
        <v>0</v>
      </c>
      <c r="AF14" s="1198">
        <f t="shared" si="2"/>
        <v>29</v>
      </c>
      <c r="AG14" s="1198">
        <f t="shared" si="2"/>
        <v>0</v>
      </c>
      <c r="AH14" s="1198">
        <f t="shared" si="2"/>
        <v>42</v>
      </c>
      <c r="AI14" s="1198">
        <f t="shared" si="2"/>
        <v>0</v>
      </c>
      <c r="AJ14" s="1198">
        <f t="shared" si="2"/>
        <v>0</v>
      </c>
      <c r="AK14" s="1198">
        <f t="shared" si="2"/>
        <v>0</v>
      </c>
      <c r="AL14" s="1198">
        <f t="shared" si="2"/>
        <v>0</v>
      </c>
      <c r="AM14" s="1198">
        <f t="shared" si="2"/>
        <v>2526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423</v>
      </c>
      <c r="BD14" s="1198">
        <f t="shared" si="2"/>
        <v>837</v>
      </c>
      <c r="BE14" s="1198">
        <f t="shared" si="2"/>
        <v>0</v>
      </c>
      <c r="BF14" s="1198">
        <f t="shared" si="2"/>
        <v>0</v>
      </c>
      <c r="BG14" s="1198">
        <f>IF(ISNUMBER(Datos!K14/Datos!J14),Datos!K14/Datos!J14," - ")</f>
        <v>0.80297933685728018</v>
      </c>
      <c r="BH14" s="1202">
        <f>IF(ISNUMBER(((Datos!L14/Datos!K14)*11)/factor_trimestre),((Datos!L14/Datos!K14)*11)/factor_trimestre," - ")</f>
        <v>11.243566726511073</v>
      </c>
      <c r="BI14" s="1198">
        <f>IF(ISNUMBER('Resol  Asuntos'!D14/NºAsuntos!G14),'Resol  Asuntos'!D14/NºAsuntos!G14," - ")</f>
        <v>0.22181436811746197</v>
      </c>
      <c r="BJ14" s="1198" t="str">
        <f>IF(ISNUMBER(Datos!CI14/Datos!CJ14),Datos!CI14/Datos!CJ14," - ")</f>
        <v xml:space="preserve"> - </v>
      </c>
      <c r="BK14" s="1198">
        <f>SUBTOTAL(9,BK8:BK13)</f>
        <v>0</v>
      </c>
      <c r="BL14" s="1198">
        <f>IF(ISNUMBER((I14-AB14+L14)/(F14)),(I14-AB14+L14)/(F14)," - ")</f>
        <v>-0.48275862068965519</v>
      </c>
      <c r="BM14" s="1203">
        <f>SUBTOTAL(9,BM9:BM13)</f>
        <v>0.22904549231408391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861</v>
      </c>
      <c r="G17" s="743">
        <f>IF(ISNUMBER(IF(D_I="SI",Datos!I17,Datos!I17+Datos!AC17)),IF(D_I="SI",Datos!I17,Datos!I17+Datos!AC17)," - ")</f>
        <v>861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2124</v>
      </c>
      <c r="AC17" s="240">
        <f>IF(ISNUMBER(Datos!Q17),Datos!Q17," - ")</f>
        <v>26</v>
      </c>
      <c r="AD17" s="374"/>
      <c r="AE17" s="562"/>
      <c r="AF17" s="741">
        <f>IF(ISNUMBER(IF(D_I="SI",Datos!L17,Datos!L17+Datos!AF17)),IF(D_I="SI",Datos!L17,Datos!L17+Datos!AF17)," - ")</f>
        <v>1065</v>
      </c>
      <c r="AG17" s="374"/>
      <c r="AH17" s="374"/>
      <c r="AI17" s="374"/>
      <c r="AJ17" s="549"/>
      <c r="AK17" s="374"/>
      <c r="AL17" s="545"/>
      <c r="AM17" s="375">
        <f>IF(ISNUMBER(Datos!R17),Datos!R17," - ")</f>
        <v>103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217</v>
      </c>
      <c r="BD17" s="243">
        <f>IF(ISNUMBER(Datos!N17),Datos!N17," - ")</f>
        <v>1226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0.91237113402061853</v>
      </c>
      <c r="BH17" s="764">
        <f>IF(ISNUMBER(((IF(D_I="SI",Datos!L17/Datos!K17,(Datos!L17+Datos!AF17)/(Datos!K17+Datos!AE17)))*11)/factor_trimestre),((IF(D_I="SI",Datos!L17/Datos!K17,(Datos!L17+Datos!AF17)/(Datos!K17+Datos!AE17)))*11)/factor_trimestre," - ")</f>
        <v>5.5155367231638417</v>
      </c>
      <c r="BI17" s="266">
        <f>IF(ISNUMBER('Resol  Asuntos'!D17/NºAsuntos!G17),'Resol  Asuntos'!D17/NºAsuntos!G17," - ")</f>
        <v>0.10216572504708098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265</v>
      </c>
      <c r="AC18" s="547">
        <f>IF(ISNUMBER(Datos!Q18),Datos!Q18," - ")</f>
        <v>0</v>
      </c>
      <c r="AD18" s="549"/>
      <c r="AE18" s="562"/>
      <c r="AF18" s="551">
        <f>IF(ISNUMBER(Datos!L18),Datos!L18,"-")</f>
        <v>34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30</v>
      </c>
      <c r="BD18" s="693">
        <f>IF(ISNUMBER(Datos!N18),Datos!N18," - ")</f>
        <v>122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1.0076045627376427</v>
      </c>
      <c r="BH18" s="764">
        <f>IF(ISNUMBER(((IF(D_I="SI",Datos!L18/Datos!K18,(Datos!L18+Datos!AF18)/(Datos!K18+Datos!AE18)))*11)/factor_trimestre),((IF(D_I="SI",Datos!L18/Datos!K18,(Datos!L18+Datos!AF18)/(Datos!K18+Datos!AE18)))*11)/factor_trimestre," - ")</f>
        <v>1.411320754716981</v>
      </c>
      <c r="BI18" s="763">
        <f>IF(ISNUMBER('Resol  Asuntos'!D18/NºAsuntos!G18),'Resol  Asuntos'!D18/NºAsuntos!G18," - ")</f>
        <v>0.11320754716981132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3</v>
      </c>
      <c r="F23" s="1197">
        <f>SUBTOTAL(9,F16:F22)</f>
        <v>861</v>
      </c>
      <c r="G23" s="1197">
        <f>SUBTOTAL(9,G16:G22)</f>
        <v>897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2389</v>
      </c>
      <c r="AC23" s="1198">
        <f t="shared" si="5"/>
        <v>26</v>
      </c>
      <c r="AD23" s="1198">
        <f t="shared" si="5"/>
        <v>0</v>
      </c>
      <c r="AE23" s="1198">
        <f t="shared" si="5"/>
        <v>0</v>
      </c>
      <c r="AF23" s="1198">
        <f t="shared" si="5"/>
        <v>1099</v>
      </c>
      <c r="AG23" s="1198">
        <f t="shared" si="5"/>
        <v>0</v>
      </c>
      <c r="AH23" s="1198">
        <f t="shared" si="5"/>
        <v>0</v>
      </c>
      <c r="AI23" s="1198">
        <f t="shared" si="5"/>
        <v>0</v>
      </c>
      <c r="AJ23" s="1198">
        <f t="shared" si="5"/>
        <v>0</v>
      </c>
      <c r="AK23" s="1198">
        <f t="shared" si="5"/>
        <v>0</v>
      </c>
      <c r="AL23" s="1198">
        <f t="shared" si="5"/>
        <v>0</v>
      </c>
      <c r="AM23" s="1198">
        <f t="shared" si="5"/>
        <v>103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247</v>
      </c>
      <c r="BD23" s="1198">
        <f t="shared" si="5"/>
        <v>1348</v>
      </c>
      <c r="BE23" s="1198">
        <f t="shared" si="5"/>
        <v>0</v>
      </c>
      <c r="BF23" s="1198">
        <f t="shared" si="5"/>
        <v>0</v>
      </c>
      <c r="BG23" s="1198">
        <f>IF(ISNUMBER(Datos!K23/Datos!J23),Datos!K23/Datos!J23," - ")</f>
        <v>0.92203782323427252</v>
      </c>
      <c r="BH23" s="1202">
        <f>IF(ISNUMBER(((Datos!L23/Datos!K23)*11)/factor_trimestre),((Datos!L23/Datos!K23)*11)/factor_trimestre," - ")</f>
        <v>5.0602762662201757</v>
      </c>
      <c r="BI23" s="1198">
        <f>SUBTOTAL(9,BI16:BI22)</f>
        <v>0.21537327221689229</v>
      </c>
      <c r="BJ23" s="1198">
        <f>SUBTOTAL(9,BJ16:BJ22)</f>
        <v>0</v>
      </c>
      <c r="BK23" s="1198">
        <f>SUBTOTAL(9,BK16:BK22)</f>
        <v>0</v>
      </c>
      <c r="BL23" s="1198">
        <f>IF(ISNUMBER((I23-AB23+L23)/(F23)),(I23-AB23+L23)/(F23)," - ")</f>
        <v>-2.7746806039488967</v>
      </c>
      <c r="BM23" s="1205">
        <f>IF(ISNUMBER((Datos!P23-Datos!Q23)/(Datos!R23-Datos!P23+Datos!Q23)),(Datos!P23-Datos!Q23)/(Datos!R23-Datos!P23+Datos!Q23)," - ")</f>
        <v>0.22619047619047619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6</v>
      </c>
      <c r="F31" s="1117">
        <f t="shared" si="18"/>
        <v>890</v>
      </c>
      <c r="G31" s="1117">
        <f t="shared" si="18"/>
        <v>926</v>
      </c>
      <c r="H31" s="1119">
        <f t="shared" si="18"/>
        <v>0</v>
      </c>
      <c r="I31" s="1117">
        <f t="shared" si="18"/>
        <v>0</v>
      </c>
      <c r="J31" s="1119">
        <f t="shared" si="18"/>
        <v>0</v>
      </c>
      <c r="K31" s="1119">
        <f t="shared" si="18"/>
        <v>0</v>
      </c>
      <c r="L31" s="1180">
        <f t="shared" si="18"/>
        <v>0</v>
      </c>
      <c r="M31" s="1180">
        <f t="shared" si="18"/>
        <v>0</v>
      </c>
      <c r="N31" s="1180">
        <f t="shared" si="18"/>
        <v>234</v>
      </c>
      <c r="O31" s="1180">
        <f t="shared" si="18"/>
        <v>0</v>
      </c>
      <c r="P31" s="1180">
        <f t="shared" si="18"/>
        <v>0</v>
      </c>
      <c r="Q31" s="1119">
        <f t="shared" si="18"/>
        <v>516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2403</v>
      </c>
      <c r="AC31" s="1118">
        <f t="shared" si="19"/>
        <v>394</v>
      </c>
      <c r="AD31" s="1118">
        <f t="shared" si="19"/>
        <v>0</v>
      </c>
      <c r="AE31" s="1118">
        <f t="shared" si="19"/>
        <v>0</v>
      </c>
      <c r="AF31" s="1125">
        <f t="shared" si="19"/>
        <v>1128</v>
      </c>
      <c r="AG31" s="1125">
        <f t="shared" si="19"/>
        <v>0</v>
      </c>
      <c r="AH31" s="1125">
        <f t="shared" si="19"/>
        <v>42</v>
      </c>
      <c r="AI31" s="1125">
        <f t="shared" si="19"/>
        <v>0</v>
      </c>
      <c r="AJ31" s="1118">
        <f t="shared" si="19"/>
        <v>0</v>
      </c>
      <c r="AK31" s="1125">
        <f t="shared" si="19"/>
        <v>0</v>
      </c>
      <c r="AL31" s="1125">
        <f t="shared" si="19"/>
        <v>0</v>
      </c>
      <c r="AM31" s="1125">
        <f t="shared" si="19"/>
        <v>2629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670</v>
      </c>
      <c r="BD31" s="1117">
        <f t="shared" si="19"/>
        <v>2185</v>
      </c>
      <c r="BE31" s="1117">
        <f t="shared" si="19"/>
        <v>0</v>
      </c>
      <c r="BF31" s="1127">
        <f t="shared" si="19"/>
        <v>0</v>
      </c>
      <c r="BG31" s="1223">
        <f>IF(ISNUMBER(Datos!K31/Datos!J31),Datos!K31/Datos!J31," - ")</f>
        <v>0.86900684931506844</v>
      </c>
      <c r="BH31" s="1223">
        <f>IF(ISNUMBER(((Datos!L31/Datos!K31)*11)/factor_trimestre),((Datos!L31/Datos!K31)*11)/factor_trimestre," - ")</f>
        <v>7.6051724137931034</v>
      </c>
      <c r="BI31" s="1103">
        <f>IF(ISNUMBER(Datos!J31/Datos!I31),Datos!J31/Datos!I31," - ")</f>
        <v>2.1284738041002278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-2.7</v>
      </c>
      <c r="BM31" s="1188">
        <f>IF(ISNUMBER((Datos!P31-Datos!Q31+R31)/(Datos!R31-Datos!P31+Datos!Q31-R31)),(Datos!P31-Datos!Q31+R31)/(Datos!R31-Datos!P31+Datos!Q31-R31)," - ")</f>
        <v>4.8663741523733546E-2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264.57142857142856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437.32306898523734</v>
      </c>
      <c r="G33" s="674">
        <f>IF(ISNUMBER(STDEV(G8:G30)),STDEV(G8:G30),"-")</f>
        <v>420.10350198606102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1079.3247668709139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181.64093308345608</v>
      </c>
      <c r="BD33" s="673"/>
      <c r="BE33" s="673">
        <f>IF(ISNUMBER(STDEV(BE8:BE30)),STDEV(BE8:BE30),"-")</f>
        <v>0</v>
      </c>
      <c r="BF33" s="678">
        <f>IF(ISNUMBER(STDEV(BF8:BF30)),STDEV(BF8:BF30),"-")</f>
        <v>0</v>
      </c>
      <c r="BG33" s="1052">
        <f>IF(ISNUMBER(STDEV(BG8:BG30)),STDEV(BG8:BG30),"-")</f>
        <v>8.5842354368929064E-2</v>
      </c>
      <c r="BH33" s="1058">
        <f>IF(ISNUMBER(STDEV(BH8:BH30)),STDEV(BH8:BH30),"-")</f>
        <v>7.492042673185022</v>
      </c>
      <c r="BI33" s="273">
        <f>IF(ISNUMBER(STDEV(BI8:BI30)),STDEV(BI8:BI30),"-")</f>
        <v>6.4244606133984528E-2</v>
      </c>
      <c r="BJ33" s="244" t="str">
        <f>IF(ISNUMBER(BL33/BM33),BL33/BM33," - ")</f>
        <v xml:space="preserve"> - </v>
      </c>
      <c r="BK33" s="709"/>
      <c r="BL33" s="681">
        <f>IF(ISNUMBER(STDEV(BL8:BL30)),STDEV(BL8:BL30),"-")</f>
        <v>1.6206335763131305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JNaFry1D9ZmwLsPtT/vFAhjiCAP75RHP+nLBzOMV3cBjG7PsaOVd/6/b/zYCSpNA61UVstafaw6x/9iF/4vYWQ==" saltValue="CZRUY8AeJ1otKsG78v0RP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VILLENA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29</v>
      </c>
      <c r="G10" s="552">
        <f>IF(ISNUMBER(Datos!I10),Datos!I10," - ")</f>
        <v>29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0</v>
      </c>
      <c r="AA10" s="551">
        <f>IF(ISNUMBER(Datos!L10),Datos!L10,"-")</f>
        <v>29</v>
      </c>
      <c r="AB10" s="549"/>
      <c r="AC10" s="549"/>
      <c r="AD10" s="563"/>
      <c r="AE10" s="563">
        <f>IF(ISNUMBER(Datos!R10),Datos!R10," - ")</f>
        <v>19</v>
      </c>
      <c r="AF10" s="693" t="str">
        <f>IF(ISNUMBER(Datos!BV10),Datos!BV10," - ")</f>
        <v xml:space="preserve"> - </v>
      </c>
      <c r="AG10" s="552" t="str">
        <f>IF(ISNUMBER(Datos!DV10),Datos!DV10," - ")</f>
        <v xml:space="preserve"> - </v>
      </c>
      <c r="AH10" s="553"/>
      <c r="AI10" s="554"/>
      <c r="AJ10" s="552">
        <f>IF(ISNUMBER(Datos!M10),Datos!M10," - ")</f>
        <v>14</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22.785714285714288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0.1875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468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368</v>
      </c>
      <c r="AA12" s="551" t="str">
        <f>IF(ISNUMBER(IF(J_V="SI",Datos!L12,Datos!L12+Datos!AB12)-IF(Monitorios="SI",Datos!CD12,0)),
                          IF(J_V="SI",Datos!L12,Datos!L12+Datos!AB12)-IF(Monitorios="SI",Datos!CD12,0),
                          " - ")</f>
        <v xml:space="preserve"> - </v>
      </c>
      <c r="AB12" s="549"/>
      <c r="AC12" s="549"/>
      <c r="AD12" s="563"/>
      <c r="AE12" s="563">
        <f>IF(ISNUMBER(Datos!R12),Datos!R12," - ")</f>
        <v>2507</v>
      </c>
      <c r="AF12" s="693" t="str">
        <f>IF(ISNUMBER(Datos!BV12),Datos!BV12," - ")</f>
        <v xml:space="preserve"> - </v>
      </c>
      <c r="AG12" s="552" t="str">
        <f>IF(ISNUMBER(Datos!DV12),Datos!DV12," - ")</f>
        <v xml:space="preserve"> - </v>
      </c>
      <c r="AH12" s="553"/>
      <c r="AI12" s="554"/>
      <c r="AJ12" s="552">
        <f>IF(ISNUMBER(Datos!M12),Datos!M12," - ")</f>
        <v>409</v>
      </c>
      <c r="AK12" s="693">
        <f>IF(ISNUMBER(Datos!N12),Datos!N12," - ")</f>
        <v>837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10.00052826201796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4.1545492314083922E-2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3</v>
      </c>
      <c r="F14" s="1197">
        <f>SUBTOTAL(9,F8:F13)</f>
        <v>29</v>
      </c>
      <c r="G14" s="1197">
        <f>SUBTOTAL(9,G8:G13)</f>
        <v>29</v>
      </c>
      <c r="H14" s="1211"/>
      <c r="I14" s="1197">
        <f t="shared" ref="I14:N14" si="1">SUBTOTAL(9,I8:I13)</f>
        <v>0</v>
      </c>
      <c r="J14" s="1164">
        <f t="shared" si="1"/>
        <v>0</v>
      </c>
      <c r="K14" s="1211">
        <f t="shared" si="1"/>
        <v>0</v>
      </c>
      <c r="L14" s="1211">
        <f t="shared" si="1"/>
        <v>0</v>
      </c>
      <c r="M14" s="1211">
        <f t="shared" si="1"/>
        <v>0</v>
      </c>
      <c r="N14" s="1211">
        <f t="shared" si="1"/>
        <v>471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368</v>
      </c>
      <c r="AA14" s="1199">
        <f t="shared" si="3"/>
        <v>29</v>
      </c>
      <c r="AB14" s="1199">
        <f t="shared" si="3"/>
        <v>0</v>
      </c>
      <c r="AC14" s="1199">
        <f t="shared" si="3"/>
        <v>0</v>
      </c>
      <c r="AD14" s="1199">
        <f t="shared" si="3"/>
        <v>0</v>
      </c>
      <c r="AE14" s="1199">
        <f t="shared" si="3"/>
        <v>2526</v>
      </c>
      <c r="AF14" s="1211">
        <f t="shared" si="3"/>
        <v>0</v>
      </c>
      <c r="AG14" s="1211">
        <f t="shared" si="3"/>
        <v>0</v>
      </c>
      <c r="AH14" s="1211">
        <f t="shared" si="3"/>
        <v>0</v>
      </c>
      <c r="AI14" s="1211">
        <f t="shared" si="3"/>
        <v>0</v>
      </c>
      <c r="AJ14" s="1211">
        <f t="shared" si="3"/>
        <v>423</v>
      </c>
      <c r="AK14" s="1211">
        <f t="shared" si="3"/>
        <v>837</v>
      </c>
      <c r="AL14" s="1211">
        <f t="shared" si="3"/>
        <v>0</v>
      </c>
      <c r="AM14" s="1211">
        <f t="shared" si="3"/>
        <v>0</v>
      </c>
      <c r="AN14" s="1211">
        <f t="shared" si="3"/>
        <v>0</v>
      </c>
      <c r="AO14" s="1203">
        <f>IF(ISNUMBER(((NºAsuntos!I14/NºAsuntos!G14)*11)/factor_trimestre),((NºAsuntos!I14/NºAsuntos!G14)*11)/factor_trimestre," - ")</f>
        <v>10.094389092815941</v>
      </c>
      <c r="AP14" s="1213" t="str">
        <f>IF(ISNUMBER(Datos!CI14/Datos!CJ14),Datos!CI14/Datos!CJ14," - ")</f>
        <v xml:space="preserve"> - </v>
      </c>
      <c r="AQ14" s="1236">
        <f t="shared" ref="AQ14:AV14" si="4">SUBTOTAL(9,AQ9:AQ13)</f>
        <v>0</v>
      </c>
      <c r="AR14" s="1236">
        <f t="shared" si="4"/>
        <v>0.22904549231408391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861</v>
      </c>
      <c r="G17" s="552">
        <f>IF(ISNUMBER(IF(D_I="SI",Datos!I17,Datos!I17+Datos!AC17)),IF(D_I="SI",Datos!I17,Datos!I17+Datos!AC17)," - ")</f>
        <v>861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2124</v>
      </c>
      <c r="Z17" s="805">
        <f>IF(ISNUMBER(Datos!Q17),Datos!Q17," - ")</f>
        <v>26</v>
      </c>
      <c r="AA17" s="551">
        <f>IF(ISNUMBER(IF(D_I="SI",Datos!L17,Datos!L17+Datos!AF17)),IF(D_I="SI",Datos!L17,Datos!L17+Datos!AF17)," - ")</f>
        <v>1065</v>
      </c>
      <c r="AB17" s="549"/>
      <c r="AC17" s="549"/>
      <c r="AD17" s="563"/>
      <c r="AE17" s="563">
        <f>IF(ISNUMBER(Datos!R17),Datos!R17," - ")</f>
        <v>103</v>
      </c>
      <c r="AF17" s="693" t="str">
        <f>IF(ISNUMBER(Datos!BV17),Datos!BV17," - ")</f>
        <v xml:space="preserve"> - </v>
      </c>
      <c r="AG17" s="552"/>
      <c r="AH17" s="553"/>
      <c r="AI17" s="554"/>
      <c r="AJ17" s="552">
        <f>IF(ISNUMBER(Datos!M17),Datos!M17," - ")</f>
        <v>217</v>
      </c>
      <c r="AK17" s="693">
        <f>IF(ISNUMBER(Datos!N17),Datos!N17," - ")</f>
        <v>1226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5.5155367231638417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265</v>
      </c>
      <c r="Z18" s="805">
        <f>IF(ISNUMBER(Datos!Q18),Datos!Q18," - ")</f>
        <v>0</v>
      </c>
      <c r="AA18" s="551">
        <f>IF(ISNUMBER(Datos!L18),Datos!L18,"-")</f>
        <v>34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30</v>
      </c>
      <c r="AK18" s="693">
        <f>IF(ISNUMBER(Datos!N18),Datos!N18," - ")</f>
        <v>122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1.411320754716981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3</v>
      </c>
      <c r="F23" s="1197">
        <f>SUBTOTAL(9,F16:F22)</f>
        <v>861</v>
      </c>
      <c r="G23" s="1197">
        <f>SUBTOTAL(9,G16:G22)</f>
        <v>897</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2389</v>
      </c>
      <c r="Z23" s="1240">
        <f t="shared" si="6"/>
        <v>26</v>
      </c>
      <c r="AA23" s="1240">
        <f t="shared" si="6"/>
        <v>1099</v>
      </c>
      <c r="AB23" s="1240">
        <f t="shared" si="6"/>
        <v>0</v>
      </c>
      <c r="AC23" s="1240">
        <f t="shared" si="6"/>
        <v>0</v>
      </c>
      <c r="AD23" s="1240">
        <f t="shared" si="6"/>
        <v>0</v>
      </c>
      <c r="AE23" s="1240">
        <f t="shared" si="6"/>
        <v>103</v>
      </c>
      <c r="AF23" s="1240">
        <f t="shared" si="6"/>
        <v>0</v>
      </c>
      <c r="AG23" s="1240">
        <f t="shared" si="6"/>
        <v>0</v>
      </c>
      <c r="AH23" s="1240">
        <f t="shared" si="6"/>
        <v>0</v>
      </c>
      <c r="AI23" s="1240">
        <f t="shared" si="6"/>
        <v>0</v>
      </c>
      <c r="AJ23" s="1240">
        <f t="shared" si="6"/>
        <v>247</v>
      </c>
      <c r="AK23" s="1240">
        <f t="shared" si="6"/>
        <v>1348</v>
      </c>
      <c r="AL23" s="1240">
        <f t="shared" si="6"/>
        <v>0</v>
      </c>
      <c r="AM23" s="1240">
        <f t="shared" si="6"/>
        <v>0</v>
      </c>
      <c r="AN23" s="1240">
        <f t="shared" si="6"/>
        <v>0</v>
      </c>
      <c r="AO23" s="1242">
        <f>IF(ISNUMBER(((NºAsuntos!I23/NºAsuntos!G23)*11)/factor_trimestre),((NºAsuntos!I23/NºAsuntos!G23)*11)/factor_trimestre," - ")</f>
        <v>5.0602762662201757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890</v>
      </c>
      <c r="G31" s="1117">
        <f t="shared" si="12"/>
        <v>926</v>
      </c>
      <c r="H31" s="1118">
        <f t="shared" si="12"/>
        <v>0</v>
      </c>
      <c r="I31" s="1117">
        <f t="shared" si="12"/>
        <v>0</v>
      </c>
      <c r="J31" s="1119">
        <f t="shared" si="12"/>
        <v>0</v>
      </c>
      <c r="K31" s="1117">
        <f t="shared" si="12"/>
        <v>0</v>
      </c>
      <c r="L31" s="1120">
        <f t="shared" si="12"/>
        <v>0</v>
      </c>
      <c r="M31" s="1117">
        <f t="shared" si="12"/>
        <v>0</v>
      </c>
      <c r="N31" s="1118">
        <f t="shared" si="12"/>
        <v>516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2403</v>
      </c>
      <c r="Z31" s="1124">
        <f t="shared" si="13"/>
        <v>394</v>
      </c>
      <c r="AA31" s="1125">
        <f t="shared" si="13"/>
        <v>1128</v>
      </c>
      <c r="AB31" s="1125">
        <f t="shared" si="13"/>
        <v>0</v>
      </c>
      <c r="AC31" s="1125">
        <f t="shared" si="13"/>
        <v>0</v>
      </c>
      <c r="AD31" s="1126">
        <f t="shared" si="13"/>
        <v>0</v>
      </c>
      <c r="AE31" s="1126">
        <f t="shared" si="13"/>
        <v>2629</v>
      </c>
      <c r="AF31" s="1127">
        <f t="shared" si="13"/>
        <v>0</v>
      </c>
      <c r="AG31" s="1128">
        <f t="shared" si="13"/>
        <v>0</v>
      </c>
      <c r="AH31" s="1129">
        <f t="shared" si="13"/>
        <v>0</v>
      </c>
      <c r="AI31" s="1127">
        <f t="shared" si="13"/>
        <v>0</v>
      </c>
      <c r="AJ31" s="1117">
        <f t="shared" si="13"/>
        <v>670</v>
      </c>
      <c r="AK31" s="1117">
        <f t="shared" si="13"/>
        <v>2185</v>
      </c>
      <c r="AL31" s="1117">
        <f t="shared" si="13"/>
        <v>0</v>
      </c>
      <c r="AM31" s="1130">
        <f t="shared" si="13"/>
        <v>0</v>
      </c>
      <c r="AN31" s="1120">
        <f>IF(ISNUMBER(Datos!K31/Datos!J31),Datos!K31/Datos!J31," - ")</f>
        <v>0.86900684931506844</v>
      </c>
      <c r="AO31" s="1120">
        <f>IF(ISNUMBER(FIND("06",Criterios!A8,1)),(IF(ISNUMBER(((Datos!R31/Datos!Q31)*11)/factor_trimestre),((Datos!R31/Datos!Q31)*11)/factor_trimestre," - ")),(IF(ISNUMBER(((Datos!L31/Datos!K31)*11)/factor_trimestre),((Datos!L31/Datos!K31)*11)/factor_trimestre," - ")))</f>
        <v>7.6051724137931034</v>
      </c>
      <c r="AP31" s="1131" t="str">
        <f>IF(ISNUMBER(Datos!CI31/Datos!CJ31),Datos!CI31/Datos!CJ31," - ")</f>
        <v xml:space="preserve"> - </v>
      </c>
      <c r="AQ31" s="1131">
        <f>IF(OR(ISNUMBER(FIND("01",Criterios!A8,1)),ISNUMBER(FIND("02",Criterios!A8,1)),ISNUMBER(FIND("03",Criterios!A8,1)),ISNUMBER(FIND("04",Criterios!A8,1))),(J31-Y31+K31)/(F31-K31),(I31-Y31+K31)/(F31-K31))</f>
        <v>-2.7</v>
      </c>
      <c r="AR31" s="1131">
        <f>IF(ISNUMBER((Datos!P31-Datos!Q31+O31)/(Datos!R31-Datos!P31+Datos!Q31-O31)),(Datos!P31-Datos!Q31+O31)/(Datos!R31-Datos!P31+Datos!Q31-O31)," - ")</f>
        <v>4.8663741523733546E-2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264.57142857142856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437.32306898523734</v>
      </c>
      <c r="G33" s="674">
        <f>IF(ISNUMBER(STDEV(G8:G30)),STDEV(G8:G30),"-")</f>
        <v>420.10350198606102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181.64093308345608</v>
      </c>
      <c r="AK33" s="276"/>
      <c r="AL33" s="276">
        <f>IF(ISNUMBER(STDEV(AL8:AL30)),STDEV(AL8:AL30),"-")</f>
        <v>0</v>
      </c>
      <c r="AM33" s="278">
        <f>IF(ISNUMBER(STDEV(AM8:AM30)),STDEV(AM8:AM30),"-")</f>
        <v>0</v>
      </c>
      <c r="AN33" s="660">
        <f>IF(ISNUMBER(STDEV(AN8:AN30)),STDEV(AN8:AN30),"-")</f>
        <v>0</v>
      </c>
      <c r="AO33" s="661">
        <f>IF(ISNUMBER(STDEV(AO8:AO30)),STDEV(AO8:AO30),"-")</f>
        <v>7.4480886135576538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IcZbOqcIHkveqpTaJpg3EwCM0lCH0NoLMHTndmUwfbsftD+2JayCLSFLFVrTQvp8fRiUvcgwR5qCNT5+phSOw==" saltValue="SpHzxncakH+dGSS4b4b43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31V1F9KozHEdNNaT9i3Tzwm0Okjwi2nQS0OcXZji+CR5ovX9FF2pdHs7X9XTJf7dxpCZDpaevfWVDvBsfourg==" saltValue="+dbmcNA0MTup92yQxK0la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drNwG4U/lDbbRdwukmjnU+QuZIgeRFr4XmSHPda1hR9pjt9uxx+z/wl55bQEh9SEl92voDRl5Q0mCXYQ9FeNQ==" saltValue="joZTzNu35iqLWPpFmDldL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VILLENA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0.22181436811746197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0.15684644386046648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0Ed6gVS0bnu1wzbZjPgmgM7tRxF92/F8r/EmJNczCm8RHA9jcVwP0uXTv9I+gYv6xFbIDHq7CelQwSgWMwp0GA==" saltValue="y0IhZqGuD5cHlrUZasfA0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UmvzVX7egf6DsQa3Lf07jAmS5/0wPvJplG3G0rGYCbFw+Q1xelaxXJSebWTcm/t2nBGDUn41EQK4kim+bLELOA==" saltValue="C2jiW5jE/KV3juQQcW8N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VILLENA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29</v>
      </c>
      <c r="D10" s="452">
        <f>IF(ISNUMBER(C10/Datos!BH10),C10/Datos!BH10," - ")</f>
        <v>29</v>
      </c>
      <c r="E10" s="451">
        <f>IF(ISNUMBER(Datos!J10),Datos!J10," - ")</f>
        <v>14</v>
      </c>
      <c r="F10" s="452">
        <f>IF(ISNUMBER(E10/B10),E10/B10," - ")</f>
        <v>14</v>
      </c>
      <c r="G10" s="451">
        <f>IF(ISNUMBER(Datos!K10),Datos!K10," - ")</f>
        <v>14</v>
      </c>
      <c r="H10" s="452">
        <f>IF(ISNUMBER(G10/B10),G10/B10," - ")</f>
        <v>14</v>
      </c>
      <c r="I10" s="451">
        <f>IF(ISNUMBER(Datos!L10),Datos!L10," - ")</f>
        <v>29</v>
      </c>
      <c r="J10" s="452">
        <f>IF(ISNUMBER(I10/B10),I10/B10," - ")</f>
        <v>29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1313</v>
      </c>
      <c r="D12" s="452">
        <f>IF(ISNUMBER(C12/Datos!BH12),C12/Datos!BH12," - ")</f>
        <v>437.66666666666669</v>
      </c>
      <c r="E12" s="451">
        <f>IF(ISNUMBER(IF(J_V="SI",Datos!J12,Datos!J12+Datos!Z12)),IF(J_V="SI",Datos!J12,Datos!J12+Datos!Z12)," - ")</f>
        <v>2301</v>
      </c>
      <c r="F12" s="452">
        <f>IF(ISNUMBER(E12/B12),E12/B12," - ")</f>
        <v>767</v>
      </c>
      <c r="G12" s="451">
        <f>IF(ISNUMBER(IF(J_V="SI",Datos!K12,Datos!K12+Datos!AA12)),IF(J_V="SI",Datos!K12,Datos!K12+Datos!AA12)," - ")</f>
        <v>1893</v>
      </c>
      <c r="H12" s="452">
        <f>IF(ISNUMBER(G12/B12),G12/B12," - ")</f>
        <v>631</v>
      </c>
      <c r="I12" s="451">
        <f>IF(ISNUMBER(IF(J_V="SI",Datos!L12,Datos!L12+Datos!AB12)),IF(J_V="SI",Datos!L12,Datos!L12+Datos!AB12)," - ")</f>
        <v>1721</v>
      </c>
      <c r="J12" s="452">
        <f>IF(ISNUMBER(I12/B12),I12/B12," - ")</f>
        <v>573.66666666666663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1342</v>
      </c>
      <c r="D14" s="1147" t="str">
        <f>IF(ISNUMBER(C14/Datos!BI14),C14/Datos!BI14," - ")</f>
        <v xml:space="preserve"> - </v>
      </c>
      <c r="E14" s="1146">
        <f>SUBTOTAL(9,E8:E13)</f>
        <v>2315</v>
      </c>
      <c r="F14" s="1147">
        <f>IF(ISNUMBER(E14/B14),E14/B14," - ")</f>
        <v>771.66666666666663</v>
      </c>
      <c r="G14" s="1146">
        <f>SUBTOTAL(9,G8:G13)</f>
        <v>1907</v>
      </c>
      <c r="H14" s="1147">
        <f>IF(ISNUMBER(G14/B14),G14/B14," - ")</f>
        <v>635.66666666666663</v>
      </c>
      <c r="I14" s="1146">
        <f>SUBTOTAL(9,I8:I13)</f>
        <v>1750</v>
      </c>
      <c r="J14" s="1147">
        <f>IF(ISNUMBER(I14/B14),I14/B14," - ")</f>
        <v>583.33333333333337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861</v>
      </c>
      <c r="D17" s="452">
        <f>IF(ISNUMBER(C17/Datos!BH17),C17/Datos!BH17," - ")</f>
        <v>287</v>
      </c>
      <c r="E17" s="451">
        <f>IF(ISNUMBER(IF(D_I="SI",Datos!J17,Datos!J17+Datos!AD17)),IF(D_I="SI",Datos!J17,Datos!J17+Datos!AD17)," - ")</f>
        <v>2328</v>
      </c>
      <c r="F17" s="452">
        <f>IF(ISNUMBER(E17/B17),E17/B17," - ")</f>
        <v>776</v>
      </c>
      <c r="G17" s="451">
        <f>IF(ISNUMBER(IF(D_I="SI",Datos!K17,Datos!K17+Datos!AE17)),IF(D_I="SI",Datos!K17,Datos!K17+Datos!AE17)," - ")</f>
        <v>2124</v>
      </c>
      <c r="H17" s="452">
        <f>IF(ISNUMBER(G17/B17),G17/B17," - ")</f>
        <v>708</v>
      </c>
      <c r="I17" s="451">
        <f>IF(ISNUMBER(IF(D_I="SI",Datos!L17,Datos!L17+Datos!AF17)),IF(D_I="SI",Datos!L17,Datos!L17+Datos!AF17)," - ")</f>
        <v>1065</v>
      </c>
      <c r="J17" s="452">
        <f>IF(ISNUMBER(I17/B17),I17/B17," - ")</f>
        <v>355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36</v>
      </c>
      <c r="D18" s="452">
        <f>IF(ISNUMBER(C18/Datos!BH18),C18/Datos!BH18," - ")</f>
        <v>36</v>
      </c>
      <c r="E18" s="451">
        <f>IF(ISNUMBER(IF(D_I="SI",Datos!J18,Datos!J18+Datos!AD18)),IF(D_I="SI",Datos!J18,Datos!J18+Datos!AD18)," - ")</f>
        <v>263</v>
      </c>
      <c r="F18" s="452">
        <f>IF(ISNUMBER(E18/B18),E18/B18," - ")</f>
        <v>263</v>
      </c>
      <c r="G18" s="451">
        <f>IF(ISNUMBER(IF(D_I="SI",Datos!K18,Datos!K18+Datos!AE18)),IF(D_I="SI",Datos!K18,Datos!K18+Datos!AE18)," - ")</f>
        <v>265</v>
      </c>
      <c r="H18" s="452">
        <f>IF(ISNUMBER(G18/B18),G18/B18," - ")</f>
        <v>265</v>
      </c>
      <c r="I18" s="451">
        <f>IF(ISNUMBER(IF(D_I="SI",Datos!L18,Datos!L18+Datos!AF18)),IF(D_I="SI",Datos!L18,Datos!L18+Datos!AF18)," - ")</f>
        <v>34</v>
      </c>
      <c r="J18" s="452">
        <f>IF(ISNUMBER(I18/B18),I18/B18," - ")</f>
        <v>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897</v>
      </c>
      <c r="D23" s="1147" t="str">
        <f>IF(ISNUMBER(C23/Datos!BI23),C23/Datos!BI23," - ")</f>
        <v xml:space="preserve"> - </v>
      </c>
      <c r="E23" s="1146">
        <f>SUBTOTAL(9,E15:E22)</f>
        <v>2591</v>
      </c>
      <c r="F23" s="1147">
        <f>IF(ISNUMBER(E23/B23),E23/B23," - ")</f>
        <v>863.66666666666663</v>
      </c>
      <c r="G23" s="1146">
        <f>SUBTOTAL(9,G15:G22)</f>
        <v>2389</v>
      </c>
      <c r="H23" s="1147">
        <f>IF(ISNUMBER(G23/B23),G23/B23," - ")</f>
        <v>796.33333333333337</v>
      </c>
      <c r="I23" s="1146">
        <f>SUBTOTAL(9,I15:I22)</f>
        <v>1099</v>
      </c>
      <c r="J23" s="1147">
        <f>IF(ISNUMBER(I23/B23),I23/B23," - ")</f>
        <v>366.33333333333331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2239</v>
      </c>
      <c r="D31" s="1085" t="str">
        <f>IF(ISNUMBER(C31/Datos!BI31),C31/Datos!BI31," - ")</f>
        <v xml:space="preserve"> - </v>
      </c>
      <c r="E31" s="1084">
        <f>SUBTOTAL(9,E9:E30)</f>
        <v>4906</v>
      </c>
      <c r="F31" s="1085">
        <f>IF(ISNUMBER(E31/B31),E31/B31," - ")</f>
        <v>1635.3333333333333</v>
      </c>
      <c r="G31" s="1084">
        <f>SUBTOTAL(9,G9:G30)</f>
        <v>4296</v>
      </c>
      <c r="H31" s="1085">
        <f>IF(ISNUMBER(G31/B31),G31/B31," - ")</f>
        <v>1432</v>
      </c>
      <c r="I31" s="1084">
        <f>SUBTOTAL(9,I9:I30)</f>
        <v>2849</v>
      </c>
      <c r="J31" s="1085">
        <f>IF(ISNUMBER(I31/B31),I31/B31," - ")</f>
        <v>949.66666666666663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i8jWFu+oOPVGVwa86frndn/g3PbMX1U5WSzsfO6Qtn1HTYQodXMbB5KajnmjmQGeIwVtYsTk6hVD/1ZVXNNYxw==" saltValue="HlC6XRvAUQPWXWYkObxp5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VILLENA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29</v>
      </c>
      <c r="G10" s="906">
        <f>IF(ISNUMBER(Datos!I10),Datos!I10," - ")</f>
        <v>29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29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14</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22.785714285714288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468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368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2507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409</v>
      </c>
      <c r="AM12" s="914">
        <f>IF(ISNUMBER(Datos!N12+DatosP!N17),Datos!N12+DatosP!N17," - ")</f>
        <v>837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10.00052826201796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4.1545492314083922E-2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29</v>
      </c>
      <c r="G14" s="1256">
        <f t="shared" si="0"/>
        <v>29</v>
      </c>
      <c r="H14" s="1256">
        <f t="shared" si="0"/>
        <v>0</v>
      </c>
      <c r="I14" s="1258">
        <f t="shared" si="0"/>
        <v>0</v>
      </c>
      <c r="J14" s="1257">
        <f t="shared" si="0"/>
        <v>0</v>
      </c>
      <c r="K14" s="1257">
        <f t="shared" si="0"/>
        <v>0</v>
      </c>
      <c r="L14" s="1259">
        <f t="shared" si="0"/>
        <v>0</v>
      </c>
      <c r="M14" s="1259">
        <f t="shared" si="0"/>
        <v>0</v>
      </c>
      <c r="N14" s="1257">
        <f t="shared" si="0"/>
        <v>471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368</v>
      </c>
      <c r="AE14" s="1257">
        <f t="shared" si="1"/>
        <v>0</v>
      </c>
      <c r="AF14" s="1257">
        <f t="shared" si="1"/>
        <v>29</v>
      </c>
      <c r="AG14" s="1257">
        <f t="shared" si="1"/>
        <v>0</v>
      </c>
      <c r="AH14" s="1257">
        <f t="shared" si="1"/>
        <v>2507</v>
      </c>
      <c r="AI14" s="1257">
        <f t="shared" si="1"/>
        <v>0</v>
      </c>
      <c r="AJ14" s="1257">
        <f t="shared" si="1"/>
        <v>0</v>
      </c>
      <c r="AK14" s="1257">
        <f t="shared" si="1"/>
        <v>0</v>
      </c>
      <c r="AL14" s="1257">
        <f t="shared" si="1"/>
        <v>423</v>
      </c>
      <c r="AM14" s="1257">
        <f t="shared" si="1"/>
        <v>837</v>
      </c>
      <c r="AN14" s="1257">
        <f t="shared" si="1"/>
        <v>0</v>
      </c>
      <c r="AO14" s="1257">
        <f t="shared" si="1"/>
        <v>0</v>
      </c>
      <c r="AP14" s="1262">
        <f>IF(ISNUMBER(((Datos!L14/Datos!K14)*11)/factor_trimestre),((Datos!L14/Datos!K14)*11)/factor_trimestre," - ")</f>
        <v>11.243566726511073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-0.48275862068965519</v>
      </c>
      <c r="AU14" s="1257" t="str">
        <f>IF(ISNUMBER((DatosP!#REF!-DatosP!#REF!+DatosP!#REF!)/(DatosP!#REF!+DatosP!#REF!-DatosP!#REF!-DatosP!#REF!)),(DatosP!#REF!-DatosP!#REF!+DatosP!#REF!)/(DatosP!#REF!+DatosP!#REF!-DatosP!#REF!-DatosP!#REF!)," - ")</f>
        <v xml:space="preserve"> - </v>
      </c>
      <c r="AV14" s="1263">
        <f>SUBTOTAL(9,AV9:AV13)</f>
        <v>4.1545492314083922E-2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5.0602762662201757</v>
      </c>
      <c r="AQ23" s="1262">
        <f>IF(ISNUMBER(((Datos!M23/Datos!L23)*11)/factor_trimestre),((Datos!M23/Datos!L23)*11)/factor_trimestre," - ")</f>
        <v>2.4722474977252045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0.22619047619047619</v>
      </c>
      <c r="AW23" s="1265">
        <f>IF(ISNUMBER((Datos!Q23-Datos!R23)/(Datos!S23-Datos!Q23+Datos!R23)),(Datos!Q23-Datos!R23)/(Datos!S23-Datos!Q23+Datos!R23)," - ")</f>
        <v>-8.0628272251308905E-2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29</v>
      </c>
      <c r="G31" s="1278">
        <f t="shared" si="8"/>
        <v>29</v>
      </c>
      <c r="H31" s="1278">
        <f t="shared" si="8"/>
        <v>0</v>
      </c>
      <c r="I31" s="1279">
        <f t="shared" si="8"/>
        <v>0</v>
      </c>
      <c r="J31" s="1280">
        <f t="shared" si="8"/>
        <v>0</v>
      </c>
      <c r="K31" s="1280">
        <f t="shared" si="8"/>
        <v>0</v>
      </c>
      <c r="L31" s="1280">
        <f t="shared" si="8"/>
        <v>0</v>
      </c>
      <c r="M31" s="1280">
        <f t="shared" si="8"/>
        <v>0</v>
      </c>
      <c r="N31" s="1279">
        <f t="shared" si="8"/>
        <v>471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368</v>
      </c>
      <c r="AE31" s="1284">
        <f t="shared" si="9"/>
        <v>0</v>
      </c>
      <c r="AF31" s="1285">
        <f t="shared" si="9"/>
        <v>29</v>
      </c>
      <c r="AG31" s="1285">
        <f t="shared" si="9"/>
        <v>0</v>
      </c>
      <c r="AH31" s="1285">
        <f t="shared" si="9"/>
        <v>2507</v>
      </c>
      <c r="AI31" s="1285">
        <f t="shared" si="9"/>
        <v>0</v>
      </c>
      <c r="AJ31" s="1286">
        <f t="shared" si="9"/>
        <v>0</v>
      </c>
      <c r="AK31" s="1286">
        <f t="shared" si="9"/>
        <v>0</v>
      </c>
      <c r="AL31" s="1278">
        <f t="shared" si="9"/>
        <v>423</v>
      </c>
      <c r="AM31" s="1278">
        <f t="shared" si="9"/>
        <v>837</v>
      </c>
      <c r="AN31" s="1278">
        <f t="shared" si="9"/>
        <v>0</v>
      </c>
      <c r="AO31" s="1278">
        <f t="shared" si="9"/>
        <v>0</v>
      </c>
      <c r="AP31" s="1278">
        <f>IF(ISNUMBER(((Datos!L31/Datos!K31)*11)/factor_trimestre),((Datos!L31/Datos!K31)*11)/factor_trimestre," - ")</f>
        <v>7.6051724137931034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-0.48275862068965519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4.8663741523733546E-2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15.883954167649817</v>
      </c>
      <c r="G33" s="1007">
        <f>IF(ISNUMBER(STDEV(G8:G30)),STDEV(G8:G30),"-")</f>
        <v>15.883954167649817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213.12906887611553</v>
      </c>
      <c r="AM33" s="1006"/>
      <c r="AN33" s="1006">
        <f>IF(ISNUMBER(STDEV(AN8:AN30)),STDEV(AN8:AN30),"-")</f>
        <v>0</v>
      </c>
      <c r="AO33" s="1012">
        <f>IF(ISNUMBER(STDEV(AO8:AO30)),STDEV(AO8:AO30),"-")</f>
        <v>0</v>
      </c>
      <c r="AP33" s="1065">
        <f>IF(ISNUMBER(STDEV(AP8:AP30)),STDEV(AP8:AP30),"-")</f>
        <v>7.5003201056376332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a/CvPSN6ikzlMg1VE4lBYaAicAi39+DanrAVcqRXimXfXjJxyuei28CK54NEru5SHeuwOJP0UOe1pJqfEfyMEQ==" saltValue="CuWZ9iIrPUBuCeghB40d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VILLENA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iAha4VAK239LWypTRZ+yg1ib/PD4/MvPFQCM3o/P0m3Mr+XUvdt2z7nB3uKTxJqEf9ezrohSI2ZGAzMkhCssg==" saltValue="DMovGi9cpsz2JHPoQuTmZ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VILLENA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14</v>
      </c>
      <c r="E10" s="452">
        <f>IF(ISNUMBER(D10/B10),D10/B10," - ")</f>
        <v>14</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409</v>
      </c>
      <c r="E12" s="452">
        <f t="shared" si="0"/>
        <v>136.33333333333334</v>
      </c>
      <c r="F12" s="451">
        <f>IF(ISNUMBER(Datos!N12),Datos!N12," - ")</f>
        <v>837</v>
      </c>
      <c r="G12" s="452">
        <f t="shared" si="1"/>
        <v>279</v>
      </c>
      <c r="H12" s="451">
        <f>IF(ISNUMBER(Datos!O12),Datos!O12," - ")</f>
        <v>787</v>
      </c>
      <c r="I12" s="452">
        <f t="shared" si="2"/>
        <v>262.33333333333331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423</v>
      </c>
      <c r="E14" s="1147">
        <f t="shared" si="0"/>
        <v>105.75</v>
      </c>
      <c r="F14" s="1146">
        <f>SUBTOTAL(9,F9:F13)</f>
        <v>837</v>
      </c>
      <c r="G14" s="1147">
        <f t="shared" si="1"/>
        <v>209.25</v>
      </c>
      <c r="H14" s="1146">
        <f>SUBTOTAL(9,H9:H13)</f>
        <v>787</v>
      </c>
      <c r="I14" s="1147">
        <f>IF(ISNUMBER(H14/B14),H14/B14," - ")</f>
        <v>196.75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217</v>
      </c>
      <c r="E17" s="452">
        <f t="shared" si="3"/>
        <v>72.333333333333329</v>
      </c>
      <c r="F17" s="451">
        <f>IF(ISNUMBER(Datos!N17),Datos!N17," - ")</f>
        <v>1226</v>
      </c>
      <c r="G17" s="452">
        <f t="shared" si="4"/>
        <v>408.66666666666669</v>
      </c>
      <c r="H17" s="451">
        <f>IF(ISNUMBER(Datos!O17),Datos!O17," - ")</f>
        <v>0</v>
      </c>
      <c r="I17" s="452">
        <f t="shared" si="5"/>
        <v>0</v>
      </c>
    </row>
    <row r="18" spans="1:9">
      <c r="A18" s="450" t="str">
        <f>Datos!A18</f>
        <v>Jdos. Violencia contra la mujer</v>
      </c>
      <c r="B18" s="480">
        <f>Datos!AO18</f>
        <v>1</v>
      </c>
      <c r="C18" s="481">
        <f>Datos!AQ18</f>
        <v>0</v>
      </c>
      <c r="D18" s="451">
        <f>IF(ISNUMBER(Datos!M18),Datos!M18," - ")</f>
        <v>30</v>
      </c>
      <c r="E18" s="452">
        <f>IF(ISNUMBER(D18/B18),D18/B18," - ")</f>
        <v>30</v>
      </c>
      <c r="F18" s="451">
        <f>IF(ISNUMBER(Datos!N18),Datos!N18," - ")</f>
        <v>122</v>
      </c>
      <c r="G18" s="452">
        <f>IF(ISNUMBER(F18/B18),F18/B18," - ")</f>
        <v>122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247</v>
      </c>
      <c r="E23" s="1147">
        <f t="shared" si="3"/>
        <v>61.75</v>
      </c>
      <c r="F23" s="1146">
        <f>SUBTOTAL(9,F16:F22)</f>
        <v>1348</v>
      </c>
      <c r="G23" s="1147">
        <f t="shared" si="4"/>
        <v>337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670</v>
      </c>
      <c r="E31" s="1085">
        <f>IF(ISNUMBER(D31/B31),D31/B31," - ")</f>
        <v>223.33333333333334</v>
      </c>
      <c r="F31" s="1084">
        <f>SUBTOTAL(9,F8:F30)</f>
        <v>2185</v>
      </c>
      <c r="G31" s="1085">
        <f>IF(ISNUMBER(F31/B31),F31/B31," - ")</f>
        <v>728.33333333333337</v>
      </c>
      <c r="H31" s="1084">
        <f>SUBTOTAL(9,H8:H30)</f>
        <v>787</v>
      </c>
      <c r="I31" s="1085">
        <f>IF(ISNUMBER(H31/B31),H31/B31," - ")</f>
        <v>262.33333333333331</v>
      </c>
    </row>
    <row r="34" spans="1:1">
      <c r="A34" s="439" t="str">
        <f>Criterios!A4</f>
        <v>Fecha Informe: 14 abr. 2023</v>
      </c>
    </row>
    <row r="39" spans="1:1">
      <c r="A39" s="462"/>
    </row>
  </sheetData>
  <sheetProtection algorithmName="SHA-512" hashValue="gjo1zekHe8YDXsDpm6Yeu+GF7AaitJBvpXXWWxQsRImz/BP4u1tMK420CwxGb16IR3JYjdYoPZXh1eYI915+OQ==" saltValue="5vn8p83n9XZBd3/iuF2q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VILLENA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v>
      </c>
      <c r="C10" s="489">
        <f>IF(ISNUMBER(Datos!Q10),Datos!Q10," - ")</f>
        <v>0</v>
      </c>
      <c r="D10" s="456">
        <f>IF(ISNUMBER(Datos!R10),Datos!R10," - ")</f>
        <v>19</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468</v>
      </c>
      <c r="C12" s="489">
        <f>IF(ISNUMBER(Datos!Q12),Datos!Q12," - ")</f>
        <v>368</v>
      </c>
      <c r="D12" s="456">
        <f>IF(ISNUMBER(Datos!R12),Datos!R12," - ")</f>
        <v>2507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471</v>
      </c>
      <c r="C14" s="1150">
        <f>SUBTOTAL(9,C9:C13)</f>
        <v>368</v>
      </c>
      <c r="D14" s="1148">
        <f>SUBTOTAL(9,D9:D13)</f>
        <v>2526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45</v>
      </c>
      <c r="C17" s="489">
        <f>IF(ISNUMBER(Datos!Q17),Datos!Q17," - ")</f>
        <v>26</v>
      </c>
      <c r="D17" s="456">
        <f>IF(ISNUMBER(Datos!R17),Datos!R17," - ")</f>
        <v>103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26</v>
      </c>
      <c r="D23" s="1148">
        <f>SUBTOTAL(9,D16:D22)</f>
        <v>103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516</v>
      </c>
      <c r="C31" s="1089">
        <f>SUBTOTAL(9,C8:C30)</f>
        <v>394</v>
      </c>
      <c r="D31" s="1090">
        <f>SUBTOTAL(9,D8:D30)</f>
        <v>2629</v>
      </c>
    </row>
    <row r="32" spans="1:4" ht="7.5" customHeight="1"/>
    <row r="33" spans="1:1" ht="6" customHeight="1"/>
    <row r="34" spans="1:1">
      <c r="A34" s="439" t="str">
        <f>Criterios!A4</f>
        <v>Fecha Informe: 14 abr. 2023</v>
      </c>
    </row>
    <row r="39" spans="1:1">
      <c r="A39" s="462"/>
    </row>
  </sheetData>
  <sheetProtection algorithmName="SHA-512" hashValue="kWq7ROpcrBH34Dl0gzxP3BelERLJ/hsk082jw+aPyfk0T1BuvZQrN39to+nn6ut0AQx6J2pGH8PdMgGTAfNSww==" saltValue="p8qTi4OAM+EBy4QSS3ZE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VILLENA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-9.375E-2</v>
      </c>
      <c r="C10" s="515">
        <f>IF(ISNUMBER((Datos!J10-Datos!T10)/Datos!T10),(Datos!J10-Datos!T10)/Datos!T10," - ")</f>
        <v>-0.125</v>
      </c>
      <c r="D10" s="515">
        <f>IF(ISNUMBER((Datos!K10-Datos!U10)/Datos!U10),(Datos!K10-Datos!U10)/Datos!U10," - ")</f>
        <v>-0.26315789473684209</v>
      </c>
      <c r="E10" s="515">
        <f>IF(ISNUMBER((Datos!L10-Datos!V10)/Datos!V10),(Datos!L10-Datos!V10)/Datos!V10," - ")</f>
        <v>0</v>
      </c>
      <c r="F10" s="515">
        <f>IF(ISNUMBER((Datos!M10-Datos!W10)/Datos!W10),(Datos!M10-Datos!W10)/Datos!W10," - ")</f>
        <v>-0.17647058823529413</v>
      </c>
      <c r="G10" s="516">
        <f>IF(ISNUMBER((Datos!N10-Datos!X10)/Datos!X10),(Datos!N10-Datos!X10)/Datos!X10," - ")</f>
        <v>-1</v>
      </c>
      <c r="H10" s="514">
        <f>IF(ISNUMBER(((NºAsuntos!G10/NºAsuntos!E10)-Datos!BD10)/Datos!BD10),((NºAsuntos!G10/NºAsuntos!E10)-Datos!BD10)/Datos!BD10," - ")</f>
        <v>-0.15789473684210525</v>
      </c>
      <c r="I10" s="515">
        <f>IF(ISNUMBER(((NºAsuntos!I10/NºAsuntos!G10)-Datos!BE10)/Datos!BE10),((NºAsuntos!I10/NºAsuntos!G10)-Datos!BE10)/Datos!BE10," - ")</f>
        <v>0.35714285714285721</v>
      </c>
      <c r="J10" s="521">
        <f>IF(ISNUMBER((('Resol  Asuntos'!D10/NºAsuntos!G10)-Datos!BF10)/Datos!BF10),(('Resol  Asuntos'!D10/NºAsuntos!G10)-Datos!BF10)/Datos!BF10," - ")</f>
        <v>0.11764705882352941</v>
      </c>
      <c r="K10" s="522">
        <f>IF(ISNUMBER((((NºAsuntos!C10+NºAsuntos!E10)/NºAsuntos!G10)-Datos!BG10)/Datos!BG10),(((NºAsuntos!C10+NºAsuntos!E10)/NºAsuntos!G10)-Datos!BG10)/Datos!BG10," - ")</f>
        <v>0.21577380952380967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4.1237113402061855E-2</v>
      </c>
      <c r="C12" s="515">
        <f>IF(ISNUMBER(
   IF(J_V="SI",(Datos!J12-Datos!T12)/Datos!T12,(Datos!J12+Datos!Z12-(Datos!T12+Datos!AH12))/(Datos!T12+Datos!AH12))
     ),IF(J_V="SI",(Datos!J12-Datos!T12)/Datos!T12,(Datos!J12+Datos!Z12-(Datos!T12+Datos!AH12))/(Datos!T12+Datos!AH12))," - ")</f>
        <v>-2.3759015697921087E-2</v>
      </c>
      <c r="D12" s="515">
        <f>IF(ISNUMBER(
   IF(J_V="SI",(Datos!K12-Datos!U12)/Datos!U12,(Datos!K12+Datos!AA12-(Datos!U12+Datos!AI12))/(Datos!U12+Datos!AI12))
     ),IF(J_V="SI",(Datos!K12-Datos!U12)/Datos!U12,(Datos!K12+Datos!AA12-(Datos!U12+Datos!AI12))/(Datos!U12+Datos!AI12))," - ")</f>
        <v>-0.1787418655097614</v>
      </c>
      <c r="E12" s="515">
        <f>IF(ISNUMBER(
   IF(J_V="SI",(Datos!L12-Datos!V12)/Datos!V12,(Datos!L12+Datos!AB12-(Datos!V12+Datos!AJ12))/(Datos!V12+Datos!AJ12))
     ),IF(J_V="SI",(Datos!L12-Datos!V12)/Datos!V12,(Datos!L12+Datos!AB12-(Datos!V12+Datos!AJ12))/(Datos!V12+Datos!AJ12))," - ")</f>
        <v>0.31073876618431073</v>
      </c>
      <c r="F12" s="515">
        <f>IF(ISNUMBER((Datos!M12-Datos!W12)/Datos!W12),(Datos!M12-Datos!W12)/Datos!W12," - ")</f>
        <v>3.5443037974683546E-2</v>
      </c>
      <c r="G12" s="516">
        <f>IF(ISNUMBER((Datos!N12-Datos!X12)/Datos!X12),(Datos!N12-Datos!X12)/Datos!X12," - ")</f>
        <v>-0.31784841075794623</v>
      </c>
      <c r="H12" s="514">
        <f>IF(ISNUMBER(((NºAsuntos!G12/NºAsuntos!E12)-Datos!BD12)/Datos!BD12),((NºAsuntos!G12/NºAsuntos!E12)-Datos!BD12)/Datos!BD12," - ")</f>
        <v>-0.15875470534833019</v>
      </c>
      <c r="I12" s="515">
        <f>IF(ISNUMBER(((NºAsuntos!I12/NºAsuntos!G12)-Datos!BE12)/Datos!BE12),((NºAsuntos!I12/NºAsuntos!G12)-Datos!BE12)/Datos!BE12," - ")</f>
        <v>0.59601313050968641</v>
      </c>
      <c r="J12" s="521">
        <f>IF(ISNUMBER((('Resol  Asuntos'!D12/NºAsuntos!G12)-Datos!BF12)/Datos!BF12),(('Resol  Asuntos'!D12/NºAsuntos!G12)-Datos!BF12)/Datos!BF12," - ")</f>
        <v>-0.59411868286670177</v>
      </c>
      <c r="K12" s="522">
        <f>IF(ISNUMBER((((NºAsuntos!C12+NºAsuntos!E12)/NºAsuntos!G12)-Datos!BG12)/Datos!BG12),(((NºAsuntos!C12+NºAsuntos!E12)/NºAsuntos!G12)-Datos!BG12)/Datos!BG12," - ")</f>
        <v>0.21629774470956839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3.7896365042536739E-2</v>
      </c>
      <c r="C14" s="1152">
        <f>IF(ISNUMBER(
   IF(J_V="SI",(Datos!J14-Datos!T14)/Datos!T14,(Datos!J14+Datos!Z14-(Datos!T14+Datos!AH14))/(Datos!T14+Datos!AH14))
     ),IF(J_V="SI",(Datos!J14-Datos!T14)/Datos!T14,(Datos!J14+Datos!Z14-(Datos!T14+Datos!AH14))/(Datos!T14+Datos!AH14))," - ")</f>
        <v>-2.4441635061104087E-2</v>
      </c>
      <c r="D14" s="1152">
        <f>IF(ISNUMBER(
   IF(J_V="SI",(Datos!K14-Datos!U14)/Datos!U14,(Datos!K14+Datos!AA14-(Datos!U14+Datos!AI14))/(Datos!U14+Datos!AI14))
     ),IF(J_V="SI",(Datos!K14-Datos!U14)/Datos!U14,(Datos!K14+Datos!AA14-(Datos!U14+Datos!AI14))/(Datos!U14+Datos!AI14))," - ")</f>
        <v>-0.17943201376936316</v>
      </c>
      <c r="E14" s="1152">
        <f>IF(ISNUMBER(
   IF(J_V="SI",(Datos!L14-Datos!V14)/Datos!V14,(Datos!L14+Datos!AB14-(Datos!V14+Datos!AJ14))/(Datos!V14+Datos!AJ14))
     ),IF(J_V="SI",(Datos!L14-Datos!V14)/Datos!V14,(Datos!L14+Datos!AB14-(Datos!V14+Datos!AJ14))/(Datos!V14+Datos!AJ14))," - ")</f>
        <v>0.30402384500745155</v>
      </c>
      <c r="F14" s="1153">
        <f>IF(ISNUMBER((Datos!M14-Datos!W14)/Datos!W14),(Datos!M14-Datos!W14)/Datos!W14," - ")</f>
        <v>2.6699029126213591E-2</v>
      </c>
      <c r="G14" s="1154">
        <f>IF(ISNUMBER((Datos!N14-Datos!X14)/Datos!X14),(Datos!N14-Datos!X14)/Datos!X14," - ")</f>
        <v>-0.31895850284784377</v>
      </c>
      <c r="H14" s="1154">
        <f>IF(ISNUMBER(((NºAsuntos!G14/NºAsuntos!E14)-Datos!BD14)/Datos!BD14),((NºAsuntos!G14/NºAsuntos!E14)-Datos!BD14)/Datos!BD14," - ")</f>
        <v>-0.158873506986911</v>
      </c>
      <c r="I14" s="1154">
        <f>IF(ISNUMBER(((NºAsuntos!I14/NºAsuntos!G14)-Datos!BE14)/Datos!BE14),((NºAsuntos!I14/NºAsuntos!G14)-Datos!BE14)/Datos!BE14," - ")</f>
        <v>0.58917221593986224</v>
      </c>
      <c r="J14" s="1154">
        <f>IF(ISNUMBER((('Resol  Asuntos'!D14/NºAsuntos!G14)-Datos!BF14)/Datos!BF14),(('Resol  Asuntos'!D14/NºAsuntos!G14)-Datos!BF14)/Datos!BF14," - ")</f>
        <v>-0.58561367242364815</v>
      </c>
      <c r="K14" s="1154">
        <f>IF(ISNUMBER((((NºAsuntos!C14+NºAsuntos!E14)/NºAsuntos!G14)-Datos!BG14)/Datos!BG14),(((NºAsuntos!C14+NºAsuntos!E14)/NºAsuntos!G14)-Datos!BG14)/Datos!BG14," - ")</f>
        <v>0.21567624489669809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3.1137724550898204E-2</v>
      </c>
      <c r="C17" s="515">
        <f>IF(ISNUMBER(
   IF(D_I="SI",(Datos!J17-Datos!T17)/Datos!T17,(Datos!J17+Datos!AD17-(Datos!T17+Datos!AL17))/(Datos!T17+Datos!AL17))
     ),IF(D_I="SI",(Datos!J17-Datos!T17)/Datos!T17,(Datos!J17+Datos!AD17-(Datos!T17+Datos!AL17))/(Datos!T17+Datos!AL17))," - ")</f>
        <v>0.15418939018344074</v>
      </c>
      <c r="D17" s="515">
        <f>IF(ISNUMBER(
   IF(D_I="SI",(Datos!K17-Datos!U17)/Datos!U17,(Datos!K17+Datos!AE17-(Datos!U17+Datos!AM17))/(Datos!U17+Datos!AM17))
     ),IF(D_I="SI",(Datos!K17-Datos!U17)/Datos!U17,(Datos!K17+Datos!AE17-(Datos!U17+Datos!AM17))/(Datos!U17+Datos!AM17))," - ")</f>
        <v>6.4661654135338351E-2</v>
      </c>
      <c r="E17" s="515">
        <f>IF(ISNUMBER(
   IF(D_I="SI",(Datos!L17-Datos!V17)/Datos!V17,(Datos!L17+Datos!AF17-(Datos!V17+Datos!AN17))/(Datos!V17+Datos!AN17))
     ),IF(D_I="SI",(Datos!L17-Datos!V17)/Datos!V17,(Datos!L17+Datos!AF17-(Datos!V17+Datos!AN17))/(Datos!V17+Datos!AN17))," - ")</f>
        <v>0.23693379790940766</v>
      </c>
      <c r="F17" s="515">
        <f>IF(ISNUMBER((Datos!M17-Datos!W17)/Datos!W17),(Datos!M17-Datos!W17)/Datos!W17," - ")</f>
        <v>0.33128834355828218</v>
      </c>
      <c r="G17" s="516">
        <f>IF(ISNUMBER((Datos!N17-Datos!X17)/Datos!X17),(Datos!N17-Datos!X17)/Datos!X17," - ")</f>
        <v>-4.813664596273292E-2</v>
      </c>
      <c r="H17" s="514">
        <f>IF(ISNUMBER(((NºAsuntos!G17/NºAsuntos!E17)-Datos!BD17)/Datos!BD17),((NºAsuntos!G17/NºAsuntos!E17)-Datos!BD17)/Datos!BD17," - ")</f>
        <v>-7.7567630416246841E-2</v>
      </c>
      <c r="I17" s="515">
        <f>IF(ISNUMBER(((NºAsuntos!I17/NºAsuntos!G17)-Datos!BE17)/Datos!BE17),((NºAsuntos!I17/NºAsuntos!G17)-Datos!BE17)/Datos!BE17," - ")</f>
        <v>0.16180928758440113</v>
      </c>
      <c r="J17" s="521">
        <f>IF(ISNUMBER((('Resol  Asuntos'!D17/NºAsuntos!G17)-Datos!BF17)/Datos!BF17),(('Resol  Asuntos'!D17/NºAsuntos!G17)-Datos!BF17)/Datos!BF17," - ")</f>
        <v>0.2504332605455617</v>
      </c>
      <c r="K17" s="522">
        <f>IF(ISNUMBER((((NºAsuntos!C17+NºAsuntos!E17)/NºAsuntos!G17)-Datos!BG17)/Datos!BG17),(((NºAsuntos!C17+NºAsuntos!E17)/NºAsuntos!G17)-Datos!BG17)/Datos!BG17," - ")</f>
        <v>5.0251681840872871E-2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-0.16279069767441862</v>
      </c>
      <c r="C18" s="515">
        <f>IF(ISNUMBER(
   IF(D_I="SI",(Datos!J18-Datos!T18)/Datos!T18,(Datos!J18+Datos!AD18-(Datos!T18+Datos!AL18))/(Datos!T18+Datos!AL18))
     ),IF(D_I="SI",(Datos!J18-Datos!T18)/Datos!T18,(Datos!J18+Datos!AD18-(Datos!T18+Datos!AL18))/(Datos!T18+Datos!AL18))," - ")</f>
        <v>-0.10238907849829351</v>
      </c>
      <c r="D18" s="515">
        <f>IF(ISNUMBER(
   IF(D_I="SI",(Datos!K18-Datos!U18)/Datos!U18,(Datos!K18+Datos!AE18-(Datos!U18+Datos!AM18))/(Datos!U18+Datos!AM18))
     ),IF(D_I="SI",(Datos!K18-Datos!U18)/Datos!U18,(Datos!K18+Datos!AE18-(Datos!U18+Datos!AM18))/(Datos!U18+Datos!AM18))," - ")</f>
        <v>-0.1254125412541254</v>
      </c>
      <c r="E18" s="515">
        <f>IF(ISNUMBER(
   IF(D_I="SI",(Datos!L18-Datos!V18)/Datos!V18,(Datos!L18+Datos!AF18-(Datos!V18+Datos!AN18))/(Datos!V18+Datos!AN18))
     ),IF(D_I="SI",(Datos!L18-Datos!V18)/Datos!V18,(Datos!L18+Datos!AF18-(Datos!V18+Datos!AN18))/(Datos!V18+Datos!AN18))," - ")</f>
        <v>-5.5555555555555552E-2</v>
      </c>
      <c r="F18" s="515">
        <f>IF(ISNUMBER((Datos!M18-Datos!W18)/Datos!W18),(Datos!M18-Datos!W18)/Datos!W18," - ")</f>
        <v>0.66666666666666663</v>
      </c>
      <c r="G18" s="516">
        <f>IF(ISNUMBER((Datos!N18-Datos!X18)/Datos!X18),(Datos!N18-Datos!X18)/Datos!X18," - ")</f>
        <v>-0.32967032967032966</v>
      </c>
      <c r="H18" s="514">
        <f>IF(ISNUMBER(((NºAsuntos!G18/NºAsuntos!E18)-Datos!BD18)/Datos!BD18),((NºAsuntos!G18/NºAsuntos!E18)-Datos!BD18)/Datos!BD18," - ")</f>
        <v>-2.5649713260299412E-2</v>
      </c>
      <c r="I18" s="515">
        <f>IF(ISNUMBER(((NºAsuntos!I18/NºAsuntos!G18)-Datos!BE18)/Datos!BE18),((NºAsuntos!I18/NºAsuntos!G18)-Datos!BE18)/Datos!BE18," - ")</f>
        <v>7.9874213836478025E-2</v>
      </c>
      <c r="J18" s="521">
        <f>IF(ISNUMBER((('Resol  Asuntos'!D18/NºAsuntos!G18)-Datos!BF18)/Datos!BF18),(('Resol  Asuntos'!D18/NºAsuntos!G18)-Datos!BF18)/Datos!BF18," - ")</f>
        <v>0.9056603773584907</v>
      </c>
      <c r="K18" s="522">
        <f>IF(ISNUMBER((((NºAsuntos!C18+NºAsuntos!E18)/NºAsuntos!G18)-Datos!BG18)/Datos!BG18),(((NºAsuntos!C18+NºAsuntos!E18)/NºAsuntos!G18)-Datos!BG18)/Datos!BG18," - ")</f>
        <v>1.74865229110511E-2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2.164009111617312E-2</v>
      </c>
      <c r="C23" s="1152">
        <f>IF(ISNUMBER(
   IF(Criterios!B14="SI",(Datos!J23-Datos!T23)/Datos!T23,(Datos!J23+Datos!AD23-(Datos!T23+Datos!AL23))/(Datos!T23+Datos!AL23))
     ),IF(Criterios!B14="SI",(Datos!J23-Datos!T23)/Datos!T23,(Datos!J23+Datos!AD23-(Datos!T23+Datos!AL23))/(Datos!T23+Datos!AL23))," - ")</f>
        <v>0.12164502164502164</v>
      </c>
      <c r="D23" s="1152">
        <f>IF(ISNUMBER(
   IF(Criterios!B14="SI",(Datos!K23-Datos!U23)/Datos!U23,(Datos!K23+Datos!AE23-(Datos!U23+Datos!AM23))/(Datos!U23+Datos!AM23))
     ),IF(Criterios!B14="SI",(Datos!K23-Datos!U23)/Datos!U23,(Datos!K23+Datos!AE23-(Datos!U23+Datos!AM23))/(Datos!U23+Datos!AM23))," - ")</f>
        <v>3.959965187119234E-2</v>
      </c>
      <c r="E23" s="1152">
        <f>IF(ISNUMBER(
   IF(Criterios!B14="SI",(Datos!L23-Datos!V23)/Datos!V23,(Datos!L23+Datos!AF23-(Datos!V23+Datos!AN23))/(Datos!V23+Datos!AN23))
     ),IF(Criterios!B14="SI",(Datos!L23-Datos!V23)/Datos!V23,(Datos!L23+Datos!AF23-(Datos!V23+Datos!AN23))/(Datos!V23+Datos!AN23))," - ")</f>
        <v>0.22519509476031216</v>
      </c>
      <c r="F23" s="1153">
        <f>IF(ISNUMBER((Datos!M23-Datos!W23)/Datos!W23),(Datos!M23-Datos!W23)/Datos!W23," - ")</f>
        <v>0.36464088397790057</v>
      </c>
      <c r="G23" s="1154">
        <f>IF(ISNUMBER((Datos!N23-Datos!X23)/Datos!X23),(Datos!N23-Datos!X23)/Datos!X23," - ")</f>
        <v>-8.2993197278911565E-2</v>
      </c>
      <c r="H23" s="1154">
        <f>IF(ISNUMBER(((NºAsuntos!G23/NºAsuntos!E23)-Datos!BD23)/Datos!BD23),((NºAsuntos!G23/NºAsuntos!E23)-Datos!BD23)/Datos!BD23," - ")</f>
        <v>-7.3147357845444072E-2</v>
      </c>
      <c r="I23" s="1154">
        <f>IF(ISNUMBER(((NºAsuntos!I23/NºAsuntos!G23)-Datos!BE23)/Datos!BE23),((NºAsuntos!I23/NºAsuntos!G23)-Datos!BE23)/Datos!BE23," - ")</f>
        <v>0.1785258801838415</v>
      </c>
      <c r="J23" s="1154">
        <f>IF(ISNUMBER((('Resol  Asuntos'!D23/NºAsuntos!G23)-Datos!BF23)/Datos!BF23),(('Resol  Asuntos'!D23/NºAsuntos!G23)-Datos!BF23)/Datos!BF23," - ")</f>
        <v>0.31266000476400807</v>
      </c>
      <c r="K23" s="1154">
        <f>IF(ISNUMBER((((NºAsuntos!C23+NºAsuntos!E23)/NºAsuntos!G23)-Datos!BG23)/Datos!BG23),(((NºAsuntos!C23+NºAsuntos!E23)/NºAsuntos!G23)-Datos!BG23)/Datos!BG23," - ")</f>
        <v>5.2427137554863931E-2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3.1321971441731919E-2</v>
      </c>
      <c r="C31" s="1092">
        <f>IF(ISNUMBER(
   IF(J_V="SI",(Datos!J31-Datos!T31)/Datos!T31,(Datos!J31+Datos!Z31-(Datos!T31+Datos!AH31))/(Datos!T31+Datos!AH31))
     ),IF(J_V="SI",(Datos!J31-Datos!T31)/Datos!T31,(Datos!J31+Datos!Z31-(Datos!T31+Datos!AH31))/(Datos!T31+Datos!AH31))," - ")</f>
        <v>4.7619047619047616E-2</v>
      </c>
      <c r="D31" s="1092">
        <f>IF(ISNUMBER(
   IF(J_V="SI",(Datos!K31-Datos!U31)/Datos!U31,(Datos!K31+Datos!AA31-(Datos!U31+Datos!AI31))/(Datos!U31+Datos!AI31))
     ),IF(J_V="SI",(Datos!K31-Datos!U31)/Datos!U31,(Datos!K31+Datos!AA31-(Datos!U31+Datos!AI31))/(Datos!U31+Datos!AI31))," - ")</f>
        <v>-7.0532237126784941E-2</v>
      </c>
      <c r="E31" s="1092">
        <f>IF(ISNUMBER(
   IF(J_V="SI",(Datos!L31-Datos!V31)/Datos!V31,(Datos!L31+Datos!AB31-(Datos!V31+Datos!AJ31))/(Datos!V31+Datos!AJ31))
     ),IF(J_V="SI",(Datos!L31-Datos!V31)/Datos!V31,(Datos!L31+Datos!AB31-(Datos!V31+Datos!AJ31))/(Datos!V31+Datos!AJ31))," - ")</f>
        <v>0.27244305493523896</v>
      </c>
      <c r="F31" s="1093">
        <f>IF(ISNUMBER((Datos!M31-Datos!W31)/Datos!W31),(Datos!M31-Datos!W31)/Datos!W31," - ")</f>
        <v>0.12984822934232715</v>
      </c>
      <c r="G31" s="1094">
        <f>IF(ISNUMBER((Datos!N31-Datos!X31)/Datos!X31),(Datos!N31-Datos!X31)/Datos!X31," - ")</f>
        <v>-0.19044090403853278</v>
      </c>
      <c r="H31" s="1095">
        <f>IF(ISNUMBER((Tasas!B31-Datos!BD31)/Datos!BD31),(Tasas!B31-Datos!BD31)/Datos!BD31," - ")</f>
        <v>-0.1127807718028402</v>
      </c>
      <c r="I31" s="1096">
        <f>IF(ISNUMBER((Tasas!C31-Datos!BE31)/Datos!BE31),(Tasas!C31-Datos!BE31)/Datos!BE31," - ")</f>
        <v>0.36900181562166551</v>
      </c>
      <c r="J31" s="1097">
        <f>IF(ISNUMBER((Tasas!D31-Datos!BF31)/Datos!BF31),(Tasas!D31-Datos!BF31)/Datos!BF31," - ")</f>
        <v>-0.4941455127576857</v>
      </c>
      <c r="K31" s="1097">
        <f>IF(ISNUMBER((Tasas!E31-Datos!BG31)/Datos!BG31),(Tasas!E31-Datos!BG31)/Datos!BG31," - ")</f>
        <v>0.12156333019797333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xTPPas6tkTFQHRn1JeO88VL1InI9tskOmX8cvIUAl6nfDSlqUxhLjYCNqS9AH1u0QkFmyy91y+p12/+bcOjPw==" saltValue="F56nLpXXlcOjjQv4pJr+t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VILLENA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2.0714285714285716</v>
      </c>
      <c r="D10" s="499">
        <f>IF(ISNUMBER('Resol  Asuntos'!D10/NºAsuntos!G10),'Resol  Asuntos'!D10/NºAsuntos!G10," - ")</f>
        <v>1</v>
      </c>
      <c r="E10" s="500">
        <f>IF(ISNUMBER((NºAsuntos!C10+NºAsuntos!E10)/NºAsuntos!G10),(NºAsuntos!C10+NºAsuntos!E10)/NºAsuntos!G10," - ")</f>
        <v>3.0714285714285716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0.82268578878748366</v>
      </c>
      <c r="C12" s="498">
        <f>IF(ISNUMBER(NºAsuntos!I12/NºAsuntos!G12),NºAsuntos!I12/NºAsuntos!G12," - ")</f>
        <v>0.90913893291072367</v>
      </c>
      <c r="D12" s="499">
        <f>IF(ISNUMBER('Resol  Asuntos'!D12/NºAsuntos!G12),'Resol  Asuntos'!D12/NºAsuntos!G12," - ")</f>
        <v>0.21605916534601163</v>
      </c>
      <c r="E12" s="500">
        <f>IF(ISNUMBER((NºAsuntos!C12+NºAsuntos!E12)/NºAsuntos!G12),(NºAsuntos!C12+NºAsuntos!E12)/NºAsuntos!G12," - ")</f>
        <v>1.9091389329107238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0.8237580993520518</v>
      </c>
      <c r="C14" s="1156">
        <f>IF(ISNUMBER(NºAsuntos!I14/NºAsuntos!G14),NºAsuntos!I14/NºAsuntos!G14," - ")</f>
        <v>0.91767173571054017</v>
      </c>
      <c r="D14" s="1157">
        <f>IF(ISNUMBER('Resol  Asuntos'!D14/NºAsuntos!G14),'Resol  Asuntos'!D14/NºAsuntos!G14," - ")</f>
        <v>0.22181436811746197</v>
      </c>
      <c r="E14" s="1158">
        <f>IF(ISNUMBER((NºAsuntos!C14+NºAsuntos!E14)/NºAsuntos!G14),(NºAsuntos!C14+NºAsuntos!E14)/NºAsuntos!G14," - ")</f>
        <v>1.9176717357105402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0.91237113402061853</v>
      </c>
      <c r="C17" s="498">
        <f>IF(ISNUMBER(NºAsuntos!I17/NºAsuntos!G17),NºAsuntos!I17/NºAsuntos!G17," - ")</f>
        <v>0.50141242937853103</v>
      </c>
      <c r="D17" s="499">
        <f>IF(ISNUMBER('Resol  Asuntos'!D17/NºAsuntos!G17),'Resol  Asuntos'!D17/NºAsuntos!G17," - ")</f>
        <v>0.10216572504708098</v>
      </c>
      <c r="E17" s="500">
        <f>IF(ISNUMBER((NºAsuntos!C17+NºAsuntos!E17)/NºAsuntos!G17),(NºAsuntos!C17+NºAsuntos!E17)/NºAsuntos!G17," - ")</f>
        <v>1.5014124293785311</v>
      </c>
      <c r="G17" s="523"/>
    </row>
    <row r="18" spans="1:7">
      <c r="A18" s="450" t="str">
        <f>Datos!A18</f>
        <v>Jdos. Violencia contra la mujer</v>
      </c>
      <c r="B18" s="497">
        <f>IF(ISNUMBER(NºAsuntos!G18/NºAsuntos!E18),NºAsuntos!G18/NºAsuntos!E18," - ")</f>
        <v>1.0076045627376427</v>
      </c>
      <c r="C18" s="498">
        <f>IF(ISNUMBER(NºAsuntos!I18/NºAsuntos!G18),NºAsuntos!I18/NºAsuntos!G18," - ")</f>
        <v>0.12830188679245283</v>
      </c>
      <c r="D18" s="499">
        <f>IF(ISNUMBER('Resol  Asuntos'!D18/NºAsuntos!G18),'Resol  Asuntos'!D18/NºAsuntos!G18," - ")</f>
        <v>0.11320754716981132</v>
      </c>
      <c r="E18" s="500">
        <f>IF(ISNUMBER((NºAsuntos!C18+NºAsuntos!E18)/NºAsuntos!G18),(NºAsuntos!C18+NºAsuntos!E18)/NºAsuntos!G18," - ")</f>
        <v>1.1283018867924528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0.92203782323427252</v>
      </c>
      <c r="C23" s="1156">
        <f>IF(ISNUMBER(NºAsuntos!I23/NºAsuntos!G23),NºAsuntos!I23/NºAsuntos!G23," - ")</f>
        <v>0.46002511511092509</v>
      </c>
      <c r="D23" s="1159">
        <f>IF(ISNUMBER('Resol  Asuntos'!D23/NºAsuntos!G23),'Resol  Asuntos'!D23/NºAsuntos!G23," - ")</f>
        <v>0.10339053997488488</v>
      </c>
      <c r="E23" s="1158">
        <f>IF(ISNUMBER((NºAsuntos!C23+NºAsuntos!E23)/NºAsuntos!G23),(NºAsuntos!C23+NºAsuntos!E23)/NºAsuntos!G23," - ")</f>
        <v>1.4600251151109251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0.87566245413779042</v>
      </c>
      <c r="C31" s="1099">
        <f>IF(ISNUMBER(NºAsuntos!I31/NºAsuntos!G31),NºAsuntos!I31/NºAsuntos!G31," - ")</f>
        <v>0.66317504655493487</v>
      </c>
      <c r="D31" s="1100">
        <f>IF(ISNUMBER('Resol  Asuntos'!D31/NºAsuntos!G31),'Resol  Asuntos'!D31/NºAsuntos!G31," - ")</f>
        <v>0.15595903165735567</v>
      </c>
      <c r="E31" s="1101">
        <f>IF(ISNUMBER((NºAsuntos!C31+NºAsuntos!E31)/NºAsuntos!G31),(NºAsuntos!C31+NºAsuntos!E31)/NºAsuntos!G31," - ")</f>
        <v>1.6631750465549349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UUfoVJmyOobJWLi9Ca7VjZb+keOGKCiGO6I7MGlPgv+TQB8IGYz/MyhxcZRLDMagbYgYVV7IXYZfioEG1PcoXw==" saltValue="KDJdj+Dex0j9UE+Ktb3z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VILLENA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29</v>
      </c>
      <c r="G10" s="373">
        <f>IF(ISNUMBER(Datos!I10),Datos!I10," - ")</f>
        <v>29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0</v>
      </c>
      <c r="Y10" s="374">
        <f t="shared" ref="Y10:Y13" si="0">SUM(W10:X10)</f>
        <v>14</v>
      </c>
      <c r="Z10" s="375" t="str">
        <f>IF(ISNUMBER(Datos!CC10),Datos!CC10," - ")</f>
        <v xml:space="preserve"> - </v>
      </c>
      <c r="AA10" s="372">
        <f>IF(ISNUMBER(Datos!L10),Datos!L10,"-")</f>
        <v>29</v>
      </c>
      <c r="AB10" s="374">
        <f>IF(ISNUMBER(Datos!R10),Datos!R10," - ")</f>
        <v>19</v>
      </c>
      <c r="AC10" s="374">
        <f t="shared" ref="AC10:AC13" si="1">IF(ISNUMBER(AA10+AB10),AA10+AB10," - ")</f>
        <v>48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14</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22.785714285714288</v>
      </c>
      <c r="AN10" s="267">
        <f>IF(ISNUMBER('Resol  Asuntos'!D10/NºAsuntos!G10),'Resol  Asuntos'!D10/NºAsuntos!G10," - ")</f>
        <v>1</v>
      </c>
      <c r="AO10" s="268">
        <f>IF(ISNUMBER((NºAsuntos!C10+NºAsuntos!E10)/NºAsuntos!G10),(NºAsuntos!C10+NºAsuntos!E10)/NºAsuntos!G10," - ")</f>
        <v>3.0714285714285716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468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368</v>
      </c>
      <c r="Y12" s="374">
        <f t="shared" si="0"/>
        <v>368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2507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409</v>
      </c>
      <c r="AJ12" s="243" t="str">
        <f>IF(ISNUMBER(Datos!BW12),Datos!BW12," - ")</f>
        <v xml:space="preserve"> - </v>
      </c>
      <c r="AK12" s="242" t="str">
        <f>IF(ISNUMBER(Datos!BX12),Datos!BX12," - ")</f>
        <v xml:space="preserve"> - </v>
      </c>
      <c r="AL12" s="266">
        <f>IF(ISNUMBER(NºAsuntos!G12/NºAsuntos!E12),NºAsuntos!G12/NºAsuntos!E12," - ")</f>
        <v>0.82268578878748366</v>
      </c>
      <c r="AM12" s="284">
        <f>IF(ISNUMBER(((NºAsuntos!I12/NºAsuntos!G12)*11)/factor_trimestre),((NºAsuntos!I12/NºAsuntos!G12)*11)/factor_trimestre," - ")</f>
        <v>10.00052826201796</v>
      </c>
      <c r="AN12" s="267">
        <f>IF(ISNUMBER('Resol  Asuntos'!D12/NºAsuntos!G12),'Resol  Asuntos'!D12/NºAsuntos!G12," - ")</f>
        <v>0.21605916534601163</v>
      </c>
      <c r="AO12" s="268">
        <f>IF(ISNUMBER((NºAsuntos!C12+NºAsuntos!E12)/NºAsuntos!G12),(NºAsuntos!C12+NºAsuntos!E12)/NºAsuntos!G12," - ")</f>
        <v>1.9091389329107238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29</v>
      </c>
      <c r="G14" s="1163">
        <f t="shared" si="5"/>
        <v>29</v>
      </c>
      <c r="H14" s="1162">
        <f t="shared" si="5"/>
        <v>0</v>
      </c>
      <c r="I14" s="1164">
        <f t="shared" si="5"/>
        <v>0</v>
      </c>
      <c r="J14" s="1164">
        <f t="shared" si="5"/>
        <v>0</v>
      </c>
      <c r="K14" s="1164">
        <f t="shared" si="5"/>
        <v>0</v>
      </c>
      <c r="L14" s="1164">
        <f t="shared" si="5"/>
        <v>471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368</v>
      </c>
      <c r="Y14" s="1165">
        <f t="shared" si="6"/>
        <v>382</v>
      </c>
      <c r="Z14" s="1165">
        <f t="shared" si="6"/>
        <v>0</v>
      </c>
      <c r="AA14" s="1165">
        <f t="shared" si="6"/>
        <v>29</v>
      </c>
      <c r="AB14" s="1165">
        <f t="shared" si="6"/>
        <v>2526</v>
      </c>
      <c r="AC14" s="1165">
        <f t="shared" si="6"/>
        <v>48</v>
      </c>
      <c r="AD14" s="1165">
        <f t="shared" si="6"/>
        <v>0</v>
      </c>
      <c r="AE14" s="1169">
        <f t="shared" si="6"/>
        <v>0</v>
      </c>
      <c r="AF14" s="1162">
        <f t="shared" si="6"/>
        <v>0</v>
      </c>
      <c r="AG14" s="1170">
        <f t="shared" si="6"/>
        <v>0</v>
      </c>
      <c r="AH14" s="1167">
        <f t="shared" si="6"/>
        <v>0</v>
      </c>
      <c r="AI14" s="1162">
        <f t="shared" si="6"/>
        <v>423</v>
      </c>
      <c r="AJ14" s="1164">
        <f t="shared" si="6"/>
        <v>0</v>
      </c>
      <c r="AK14" s="1167">
        <f>SUBTOTAL(9,AK9:AK13)</f>
        <v>0</v>
      </c>
      <c r="AL14" s="1171">
        <f>IF(ISNUMBER(NºAsuntos!G14/NºAsuntos!E14),NºAsuntos!G14/NºAsuntos!E14," - ")</f>
        <v>0.8237580993520518</v>
      </c>
      <c r="AM14" s="1171">
        <f>IF(ISNUMBER(((NºAsuntos!I14/NºAsuntos!G14)*11)/factor_trimestre),((NºAsuntos!I14/NºAsuntos!G14)*11)/factor_trimestre," - ")</f>
        <v>10.094389092815941</v>
      </c>
      <c r="AN14" s="1172">
        <f>IF(ISNUMBER('Resol  Asuntos'!D14/NºAsuntos!G14),'Resol  Asuntos'!D14/NºAsuntos!G14," - ")</f>
        <v>0.22181436811746197</v>
      </c>
      <c r="AO14" s="1173">
        <f>IF(ISNUMBER((NºAsuntos!C14+NºAsuntos!E14)/NºAsuntos!G14),(NºAsuntos!C14+NºAsuntos!E14)/NºAsuntos!G14," - ")</f>
        <v>1.9176717357105402</v>
      </c>
      <c r="AP14" s="1174" t="str">
        <f t="shared" si="2"/>
        <v xml:space="preserve"> - </v>
      </c>
      <c r="AQ14" s="1174">
        <f>IF(ISNUMBER((H14-W14+K14)/(F14)),(H14-W14+K14)/(F14)," - ")</f>
        <v>-0.48275862068965519</v>
      </c>
      <c r="AR14" s="1175">
        <f>IF(ISNUMBER((Datos!P14-Datos!Q14)/(Datos!R14-Datos!P14+Datos!Q14)),(Datos!P14-Datos!Q14)/(Datos!R14-Datos!P14+Datos!Q14)," - ")</f>
        <v>4.2509286009079654E-2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861</v>
      </c>
      <c r="G17" s="373">
        <f>IF(ISNUMBER(IF(D_I="SI",Datos!I17,Datos!I17+Datos!AC17)),IF(D_I="SI",Datos!I17,Datos!I17+Datos!AC17)," - ")</f>
        <v>861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2124</v>
      </c>
      <c r="X17" s="240">
        <f>IF(ISNUMBER(Datos!Q17),Datos!Q17," - ")</f>
        <v>26</v>
      </c>
      <c r="Y17" s="374">
        <f t="shared" ref="Y17:Y22" si="9">SUM(W17:X17)</f>
        <v>2150</v>
      </c>
      <c r="Z17" s="375" t="str">
        <f>IF(ISNUMBER(Datos!CC17),Datos!CC17," - ")</f>
        <v xml:space="preserve"> - </v>
      </c>
      <c r="AA17" s="372">
        <f>IF(ISNUMBER(IF(D_I="SI",Datos!L17,Datos!L17+Datos!AF17)),IF(D_I="SI",Datos!L17,Datos!L17+Datos!AF17)," - ")</f>
        <v>1065</v>
      </c>
      <c r="AB17" s="374">
        <f>IF(ISNUMBER(Datos!R17),Datos!R17," - ")</f>
        <v>103</v>
      </c>
      <c r="AC17" s="374">
        <f t="shared" si="8"/>
        <v>1168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217</v>
      </c>
      <c r="AJ17" s="245" t="str">
        <f>IF(ISNUMBER(Datos!BW17),Datos!BW17," - ")</f>
        <v xml:space="preserve"> - </v>
      </c>
      <c r="AK17" s="246" t="str">
        <f>IF(ISNUMBER(Datos!BX17),Datos!BX17," - ")</f>
        <v xml:space="preserve"> - </v>
      </c>
      <c r="AL17" s="266">
        <f>IF(ISNUMBER(NºAsuntos!G17/NºAsuntos!E17),NºAsuntos!G17/NºAsuntos!E17," - ")</f>
        <v>0.91237113402061853</v>
      </c>
      <c r="AM17" s="284">
        <f>IF(ISNUMBER(((NºAsuntos!I17/NºAsuntos!G17)*11)/factor_trimestre),((NºAsuntos!I17/NºAsuntos!G17)*11)/factor_trimestre," - ")</f>
        <v>5.5155367231638417</v>
      </c>
      <c r="AN17" s="267">
        <f>IF(ISNUMBER('Resol  Asuntos'!D17/NºAsuntos!G17),'Resol  Asuntos'!D17/NºAsuntos!G17," - ")</f>
        <v>0.10216572504708098</v>
      </c>
      <c r="AO17" s="268">
        <f>IF(ISNUMBER((NºAsuntos!C17+NºAsuntos!E17)/NºAsuntos!G17),(NºAsuntos!C17+NºAsuntos!E17)/NºAsuntos!G17," - ")</f>
        <v>1.5014124293785311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265</v>
      </c>
      <c r="X18" s="240">
        <f>IF(ISNUMBER(Datos!Q18),Datos!Q18," - ")</f>
        <v>0</v>
      </c>
      <c r="Y18" s="374">
        <f t="shared" si="9"/>
        <v>265</v>
      </c>
      <c r="Z18" s="375" t="str">
        <f>IF(ISNUMBER(Datos!CC18),Datos!CC18," - ")</f>
        <v xml:space="preserve"> - </v>
      </c>
      <c r="AA18" s="372">
        <f>IF(ISNUMBER(Datos!L18),Datos!L18,"-")</f>
        <v>34</v>
      </c>
      <c r="AB18" s="374">
        <f>IF(ISNUMBER(Datos!R18),Datos!R18," - ")</f>
        <v>0</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30</v>
      </c>
      <c r="AJ18" s="245" t="str">
        <f>IF(ISNUMBER(Datos!BW18),Datos!BW18," - ")</f>
        <v xml:space="preserve"> - </v>
      </c>
      <c r="AK18" s="246" t="str">
        <f>IF(ISNUMBER(Datos!BX18),Datos!BX18," - ")</f>
        <v xml:space="preserve"> - </v>
      </c>
      <c r="AL18" s="266">
        <f>IF(ISNUMBER(NºAsuntos!G18/NºAsuntos!E18),NºAsuntos!G18/NºAsuntos!E18," - ")</f>
        <v>1.0076045627376427</v>
      </c>
      <c r="AM18" s="284">
        <f>IF(ISNUMBER(((NºAsuntos!I18/NºAsuntos!G18)*11)/factor_trimestre),((NºAsuntos!I18/NºAsuntos!G18)*11)/factor_trimestre," - ")</f>
        <v>1.411320754716981</v>
      </c>
      <c r="AN18" s="267">
        <f>IF(ISNUMBER('Resol  Asuntos'!D18/NºAsuntos!G18),'Resol  Asuntos'!D18/NºAsuntos!G18," - ")</f>
        <v>0.11320754716981132</v>
      </c>
      <c r="AO18" s="268">
        <f>IF(ISNUMBER((NºAsuntos!C18+NºAsuntos!E18)/NºAsuntos!G18),(NºAsuntos!C18+NºAsuntos!E18)/NºAsuntos!G18," - ")</f>
        <v>1.1283018867924528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861</v>
      </c>
      <c r="G23" s="1163">
        <f>SUBTOTAL(9,G16:G22)</f>
        <v>897</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2389</v>
      </c>
      <c r="X23" s="1164">
        <f t="shared" si="14"/>
        <v>26</v>
      </c>
      <c r="Y23" s="1165">
        <f t="shared" si="14"/>
        <v>2415</v>
      </c>
      <c r="Z23" s="1165">
        <f t="shared" si="14"/>
        <v>0</v>
      </c>
      <c r="AA23" s="1165">
        <f t="shared" si="14"/>
        <v>1099</v>
      </c>
      <c r="AB23" s="1165">
        <f t="shared" si="14"/>
        <v>103</v>
      </c>
      <c r="AC23" s="1165">
        <f t="shared" si="14"/>
        <v>1202</v>
      </c>
      <c r="AD23" s="1165">
        <f t="shared" si="14"/>
        <v>0</v>
      </c>
      <c r="AE23" s="1169">
        <f t="shared" si="14"/>
        <v>0</v>
      </c>
      <c r="AF23" s="1162">
        <f t="shared" si="14"/>
        <v>0</v>
      </c>
      <c r="AG23" s="1170">
        <f t="shared" si="14"/>
        <v>0</v>
      </c>
      <c r="AH23" s="1167">
        <f t="shared" si="14"/>
        <v>0</v>
      </c>
      <c r="AI23" s="1162">
        <f t="shared" si="14"/>
        <v>247</v>
      </c>
      <c r="AJ23" s="1164">
        <f t="shared" si="14"/>
        <v>0</v>
      </c>
      <c r="AK23" s="1167">
        <f t="shared" si="14"/>
        <v>0</v>
      </c>
      <c r="AL23" s="1171">
        <f>IF(ISNUMBER(NºAsuntos!G23/NºAsuntos!E23),NºAsuntos!G23/NºAsuntos!E23," - ")</f>
        <v>0.92203782323427252</v>
      </c>
      <c r="AM23" s="1171">
        <f>IF(ISNUMBER(((NºAsuntos!I23/NºAsuntos!G23)*11)/factor_trimestre),((NºAsuntos!I23/NºAsuntos!G23)*11)/factor_trimestre," - ")</f>
        <v>5.0602762662201757</v>
      </c>
      <c r="AN23" s="1172">
        <f>IF(ISNUMBER('Resol  Asuntos'!D23/NºAsuntos!G23),'Resol  Asuntos'!D23/NºAsuntos!G23," - ")</f>
        <v>0.10339053997488488</v>
      </c>
      <c r="AO23" s="1173">
        <f>IF(ISNUMBER((NºAsuntos!C23+NºAsuntos!E23)/NºAsuntos!G23),(NºAsuntos!C23+NºAsuntos!E23)/NºAsuntos!G23," - ")</f>
        <v>1.4600251151109251</v>
      </c>
      <c r="AP23" s="1174" t="str">
        <f t="shared" si="2"/>
        <v xml:space="preserve"> - </v>
      </c>
      <c r="AQ23" s="1174">
        <f>IF(ISNUMBER((H23-W23+K23)/(F23)),(H23-W23+K23)/(F23)," - ")</f>
        <v>-2.7746806039488967</v>
      </c>
      <c r="AR23" s="1175">
        <f>IF(ISNUMBER((Datos!P23-Datos!Q23)/(Datos!R23-Datos!P23+Datos!Q23)),(Datos!P23-Datos!Q23)/(Datos!R23-Datos!P23+Datos!Q23)," - ")</f>
        <v>0.22619047619047619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890</v>
      </c>
      <c r="G31" s="1118">
        <f t="shared" si="20"/>
        <v>926</v>
      </c>
      <c r="H31" s="1117">
        <f t="shared" si="20"/>
        <v>0</v>
      </c>
      <c r="I31" s="1119">
        <f t="shared" si="20"/>
        <v>0</v>
      </c>
      <c r="J31" s="1119">
        <f t="shared" si="20"/>
        <v>0</v>
      </c>
      <c r="K31" s="1180">
        <f t="shared" si="20"/>
        <v>0</v>
      </c>
      <c r="L31" s="1119">
        <f t="shared" si="20"/>
        <v>516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2403</v>
      </c>
      <c r="X31" s="1118">
        <f t="shared" si="21"/>
        <v>394</v>
      </c>
      <c r="Y31" s="1125">
        <f t="shared" si="21"/>
        <v>2797</v>
      </c>
      <c r="Z31" s="1125">
        <f t="shared" si="21"/>
        <v>0</v>
      </c>
      <c r="AA31" s="1125">
        <f t="shared" si="21"/>
        <v>1128</v>
      </c>
      <c r="AB31" s="1125">
        <f t="shared" si="21"/>
        <v>2629</v>
      </c>
      <c r="AC31" s="1125">
        <f t="shared" si="21"/>
        <v>1250</v>
      </c>
      <c r="AD31" s="1125">
        <f t="shared" si="21"/>
        <v>0</v>
      </c>
      <c r="AE31" s="1127">
        <f t="shared" si="21"/>
        <v>0</v>
      </c>
      <c r="AF31" s="1128">
        <f t="shared" si="21"/>
        <v>0</v>
      </c>
      <c r="AG31" s="1129">
        <f t="shared" si="21"/>
        <v>0</v>
      </c>
      <c r="AH31" s="1127">
        <f t="shared" si="21"/>
        <v>0</v>
      </c>
      <c r="AI31" s="1117">
        <f t="shared" si="21"/>
        <v>670</v>
      </c>
      <c r="AJ31" s="1117">
        <f t="shared" si="21"/>
        <v>0</v>
      </c>
      <c r="AK31" s="1127">
        <f t="shared" si="21"/>
        <v>0</v>
      </c>
      <c r="AL31" s="1183">
        <f>IF(ISNUMBER(NºAsuntos!G31/NºAsuntos!E31),NºAsuntos!G31/NºAsuntos!E31," - ")</f>
        <v>0.87566245413779042</v>
      </c>
      <c r="AM31" s="1184">
        <f>IF(ISNUMBER(((NºAsuntos!I31/NºAsuntos!G31)*11)/factor_trimestre),((NºAsuntos!I31/NºAsuntos!G31)*11)/factor_trimestre," - ")</f>
        <v>7.2949255121042835</v>
      </c>
      <c r="AN31" s="1184">
        <f>IF(ISNUMBER('Resol  Asuntos'!D31/NºAsuntos!G31),'Resol  Asuntos'!D31/NºAsuntos!G31," - ")</f>
        <v>0.15595903165735567</v>
      </c>
      <c r="AO31" s="1185">
        <f>IF(ISNUMBER((NºAsuntos!C31+NºAsuntos!E31)/NºAsuntos!G31),(NºAsuntos!C31+NºAsuntos!E31)/NºAsuntos!G31," - ")</f>
        <v>1.6631750465549349</v>
      </c>
      <c r="AP31" s="1186" t="str">
        <f t="shared" si="2"/>
        <v xml:space="preserve"> - </v>
      </c>
      <c r="AQ31" s="1187">
        <f>IF(OR(ISNUMBER(FIND("01",Criterios!A8,1)),ISNUMBER(FIND("02",Criterios!A8,1)),ISNUMBER(FIND("03",Criterios!A8,1)),ISNUMBER(FIND("04",Criterios!A8,1))),(I31-W31+K31)/(F31-K31),(H31-W31+K31)/(F31-K31))</f>
        <v>-2.7</v>
      </c>
      <c r="AR31" s="1188">
        <f>IF(ISNUMBER((Datos!P31-Datos!Q31)/(Datos!R31-Datos!P31+Datos!Q31)),(Datos!P31-Datos!Q31)/(Datos!R31-Datos!P31+Datos!Q31)," - ")</f>
        <v>4.8663741523733546E-2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264.57142857142856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437.32306898523734</v>
      </c>
      <c r="G33" s="277">
        <f>IF(ISNUMBER(STDEV(G8:G30)),STDEV(G8:G30),"-")</f>
        <v>420.10350198606102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1079.3247668709139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181.64093308345608</v>
      </c>
      <c r="AJ33" s="276">
        <f t="shared" si="25"/>
        <v>0</v>
      </c>
      <c r="AK33" s="278">
        <f t="shared" si="25"/>
        <v>0</v>
      </c>
      <c r="AL33" s="273">
        <f t="shared" si="25"/>
        <v>8.0874777723842967E-2</v>
      </c>
      <c r="AM33" s="274">
        <f t="shared" si="25"/>
        <v>7.4480886135576538</v>
      </c>
      <c r="AN33" s="274">
        <f t="shared" si="25"/>
        <v>0.35086486591710553</v>
      </c>
      <c r="AO33" s="275">
        <f t="shared" si="25"/>
        <v>0.67709896486887777</v>
      </c>
      <c r="AP33" s="317" t="str">
        <f t="shared" si="25"/>
        <v>-</v>
      </c>
      <c r="AQ33" s="318">
        <f t="shared" si="25"/>
        <v>1.6206335763131305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aoCf6T1gjVjnFTskdNC0E9MAXzNkB8y0K7GW89kt4ElQHrbLG0HiOHUioIabluh9OcKAMEbIYKjSh8vzuXiPcg==" saltValue="5ec59H4KtxA5CH2WlioB4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VILLENA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-9.375E-2</v>
      </c>
      <c r="E10" s="393">
        <f>IF(ISNUMBER((Datos!J10-Datos!T10)/Datos!T10),(Datos!J10-Datos!T10)/Datos!T10," - ")</f>
        <v>-0.125</v>
      </c>
      <c r="F10" s="393">
        <f>IF(ISNUMBER((Datos!K10-Datos!U10)/Datos!U10),(Datos!K10-Datos!U10)/Datos!U10," - ")</f>
        <v>-0.26315789473684209</v>
      </c>
      <c r="G10" s="394">
        <f>IF(ISNUMBER((Datos!L10-Datos!V10)/Datos!V10),(Datos!L10-Datos!V10)/Datos!V10," - ")</f>
        <v>0</v>
      </c>
      <c r="H10" s="244">
        <f>IF(ISNUMBER((Datos!M10-Datos!W10)/Datos!W10),(Datos!M10-Datos!W10)/Datos!W10," - ")</f>
        <v>-0.17647058823529413</v>
      </c>
      <c r="I10" s="395">
        <f>IF(ISNUMBER((Tasas!C10-Datos!BE10)/Datos!BE10),(Tasas!C10-Datos!BE10)/Datos!BE10," - ")</f>
        <v>0.35714285714285721</v>
      </c>
      <c r="J10" s="394">
        <f>IF(ISNUMBER((Tasas!D10-Datos!BF10)/Datos!BF10),(Tasas!D10-Datos!BF10)/Datos!BF10," - ")</f>
        <v>0.11764705882352941</v>
      </c>
      <c r="K10" s="396">
        <f>IF(ISNUMBER((Tasas!E10-Datos!BG10)/Datos!BG10),(Tasas!E10-Datos!BG10)/Datos!BG10," - ")</f>
        <v>0.21577380952380967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3.5443037974683546E-2</v>
      </c>
      <c r="I12" s="395">
        <f>IF(ISNUMBER((Tasas!C12-Datos!BE12)/Datos!BE12),(Tasas!C12-Datos!BE12)/Datos!BE12," - ")</f>
        <v>0.59601313050968641</v>
      </c>
      <c r="J12" s="394">
        <f>IF(ISNUMBER((Tasas!D12-Datos!BF12)/Datos!BF12),(Tasas!D12-Datos!BF12)/Datos!BF12," - ")</f>
        <v>-0.59411868286670177</v>
      </c>
      <c r="K12" s="396">
        <f>IF(ISNUMBER((Tasas!E12-Datos!BG12)/Datos!BG12),(Tasas!E12-Datos!BG12)/Datos!BG12," - ")</f>
        <v>0.21629774470956839</v>
      </c>
      <c r="M12" t="e">
        <f>IF(Monitorios="SI",Datos!CE12,0)</f>
        <v>#REF!</v>
      </c>
      <c r="N12" t="e">
        <f>IF(Monitorios="SI",Datos!CF12,0)</f>
        <v>#REF!</v>
      </c>
      <c r="O12" t="e">
        <f>IF(Monitorios="SI",Datos!CG12,0)</f>
        <v>#REF!</v>
      </c>
      <c r="P12" t="e">
        <f>IF(Monitorios="SI",Datos!CH12,0)</f>
        <v>#REF!</v>
      </c>
      <c r="Q12">
        <f>IF(J_V="SI",0,Datos!AG12)</f>
        <v>34</v>
      </c>
      <c r="R12">
        <f>IF(J_V="SI",0,Datos!AH12)</f>
        <v>285</v>
      </c>
      <c r="S12">
        <f>IF(J_V="SI",0,Datos!AI12)</f>
        <v>275</v>
      </c>
      <c r="T12">
        <f>IF(J_V="SI",0,Datos!AJ12)</f>
        <v>44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2.6699029126213591E-2</v>
      </c>
      <c r="I14" s="402">
        <f>IF(ISNUMBER((Tasas!C14-Datos!BE14)/Datos!BE14),(Tasas!C14-Datos!BE14)/Datos!BE14," - ")</f>
        <v>0.58917221593986224</v>
      </c>
      <c r="J14" s="400">
        <f>IF(ISNUMBER((Tasas!D14-Datos!BF14)/Datos!BF14),(Tasas!D14-Datos!BF14)/Datos!BF14," - ")</f>
        <v>-0.58561367242364815</v>
      </c>
      <c r="K14" s="403">
        <f>IF(ISNUMBER((Tasas!E14-Datos!BG14)/Datos!BG14),(Tasas!E14-Datos!BG14)/Datos!BG14," - ")</f>
        <v>0.21567624489669809</v>
      </c>
      <c r="M14" t="e">
        <f>IF(Monitorios="SI",Datos!CE14,0)</f>
        <v>#REF!</v>
      </c>
      <c r="N14" t="e">
        <f>IF(Monitorios="SI",Datos!CF14,0)</f>
        <v>#REF!</v>
      </c>
      <c r="O14" t="e">
        <f>IF(Monitorios="SI",Datos!CG14,0)</f>
        <v>#REF!</v>
      </c>
      <c r="P14" t="e">
        <f>IF(Monitorios="SI",Datos!CH14,0)</f>
        <v>#REF!</v>
      </c>
      <c r="Q14">
        <f>IF(J_V="SI",0,Datos!AG14)</f>
        <v>34</v>
      </c>
      <c r="R14">
        <f>IF(J_V="SI",0,Datos!AH14)</f>
        <v>285</v>
      </c>
      <c r="S14">
        <f>IF(J_V="SI",0,Datos!AI14)</f>
        <v>275</v>
      </c>
      <c r="T14">
        <f>IF(J_V="SI",0,Datos!AJ14)</f>
        <v>44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3.1137724550898204E-2</v>
      </c>
      <c r="E17" s="393">
        <f>IF(ISNUMBER(
   IF(D_I="SI",(Datos!J17-Datos!T17)/Datos!T17,(Datos!J17+Datos!AD17-(Datos!T17+Datos!AL17))/(Datos!T17+Datos!AL17))
     ),IF(D_I="SI",(Datos!J17-Datos!T17)/Datos!T17,(Datos!J17+Datos!AD17-(Datos!T17+Datos!AL17))/(Datos!T17+Datos!AL17))," - ")</f>
        <v>0.15418939018344074</v>
      </c>
      <c r="F17" s="393">
        <f>IF(ISNUMBER(
   IF(D_I="SI",(Datos!K17-Datos!U17)/Datos!U17,(Datos!K17+Datos!AE17-(Datos!U17+Datos!AM17))/(Datos!U17+Datos!AM17))
     ),IF(D_I="SI",(Datos!K17-Datos!U17)/Datos!U17,(Datos!K17+Datos!AE17-(Datos!U17+Datos!AM17))/(Datos!U17+Datos!AM17))," - ")</f>
        <v>6.4661654135338351E-2</v>
      </c>
      <c r="G17" s="394">
        <f>IF(ISNUMBER(
   IF(D_I="SI",(Datos!L17-Datos!V17)/Datos!V17,(Datos!L17+Datos!AF17-(Datos!V17+Datos!AN17))/(Datos!V17+Datos!AN17))
     ),IF(D_I="SI",(Datos!L17-Datos!V17)/Datos!V17,(Datos!L17+Datos!AF17-(Datos!V17+Datos!AN17))/(Datos!V17+Datos!AN17))," - ")</f>
        <v>0.23693379790940766</v>
      </c>
      <c r="H17" s="244">
        <f>IF(ISNUMBER((Datos!M17-Datos!W17)/Datos!W17),(Datos!M17-Datos!W17)/Datos!W17," - ")</f>
        <v>0.33128834355828218</v>
      </c>
      <c r="I17" s="395">
        <f>IF(ISNUMBER((Tasas!C17-Datos!BE17)/Datos!BE17),(Tasas!C17-Datos!BE17)/Datos!BE17," - ")</f>
        <v>0.16180928758440113</v>
      </c>
      <c r="J17" s="394">
        <f>IF(ISNUMBER((Tasas!D17-Datos!BF17)/Datos!BF17),(Tasas!D17-Datos!BF17)/Datos!BF17," - ")</f>
        <v>0.2504332605455617</v>
      </c>
      <c r="K17" s="396">
        <f>IF(ISNUMBER((Tasas!E17-Datos!BG17)/Datos!BG17),(Tasas!E17-Datos!BG17)/Datos!BG17," - ")</f>
        <v>5.0251681840872871E-2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-0.16279069767441862</v>
      </c>
      <c r="E18" s="393">
        <f>IF(ISNUMBER(
   IF(D_I="SI",(Datos!J18-Datos!T18)/Datos!T18,(Datos!J18+Datos!AD18-(Datos!T18+Datos!AL18))/(Datos!T18+Datos!AL18))
     ),IF(D_I="SI",(Datos!J18-Datos!T18)/Datos!T18,(Datos!J18+Datos!AD18-(Datos!T18+Datos!AL18))/(Datos!T18+Datos!AL18))," - ")</f>
        <v>-0.10238907849829351</v>
      </c>
      <c r="F18" s="393">
        <f>IF(ISNUMBER(
   IF(D_I="SI",(Datos!K18-Datos!U18)/Datos!U18,(Datos!K18+Datos!AE18-(Datos!U18+Datos!AM18))/(Datos!U18+Datos!AM18))
     ),IF(D_I="SI",(Datos!K18-Datos!U18)/Datos!U18,(Datos!K18+Datos!AE18-(Datos!U18+Datos!AM18))/(Datos!U18+Datos!AM18))," - ")</f>
        <v>-0.1254125412541254</v>
      </c>
      <c r="G18" s="394">
        <f>IF(ISNUMBER(
   IF(D_I="SI",(Datos!L18-Datos!V18)/Datos!V18,(Datos!L18+Datos!AF18-(Datos!V18+Datos!AN18))/(Datos!V18+Datos!AN18))
     ),IF(D_I="SI",(Datos!L18-Datos!V18)/Datos!V18,(Datos!L18+Datos!AF18-(Datos!V18+Datos!AN18))/(Datos!V18+Datos!AN18))," - ")</f>
        <v>-5.5555555555555552E-2</v>
      </c>
      <c r="H18" s="244">
        <f>IF(ISNUMBER((Datos!M18-Datos!W18)/Datos!W18),(Datos!M18-Datos!W18)/Datos!W18," - ")</f>
        <v>0.66666666666666663</v>
      </c>
      <c r="I18" s="395">
        <f>IF(ISNUMBER((Tasas!C18-Datos!BE18)/Datos!BE18),(Tasas!C18-Datos!BE18)/Datos!BE18," - ")</f>
        <v>7.9874213836478025E-2</v>
      </c>
      <c r="J18" s="394">
        <f>IF(ISNUMBER((Tasas!D18-Datos!BF18)/Datos!BF18),(Tasas!D18-Datos!BF18)/Datos!BF18," - ")</f>
        <v>0.9056603773584907</v>
      </c>
      <c r="K18" s="396">
        <f>IF(ISNUMBER((Tasas!E18-Datos!BG18)/Datos!BG18),(Tasas!E18-Datos!BG18)/Datos!BG18," - ")</f>
        <v>1.74865229110511E-2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2.164009111617312E-2</v>
      </c>
      <c r="E23" s="399">
        <f>IF(ISNUMBER(
   IF(D_I="SI",(Datos!J23-Datos!T23)/Datos!T23,(Datos!J23+Datos!AD23-(Datos!T23+Datos!AL23))/(Datos!T23+Datos!AL23))
     ),IF(D_I="SI",(Datos!J23-Datos!T23)/Datos!T23,(Datos!J23+Datos!AD23-(Datos!T23+Datos!AL23))/(Datos!T23+Datos!AL23))," - ")</f>
        <v>0.12164502164502164</v>
      </c>
      <c r="F23" s="399">
        <f>IF(ISNUMBER(
   IF(D_I="SI",(Datos!K23-Datos!U23)/Datos!U23,(Datos!K23+Datos!AE23-(Datos!U23+Datos!AM23))/(Datos!U23+Datos!AM23))
     ),IF(D_I="SI",(Datos!K23-Datos!U23)/Datos!U23,(Datos!K23+Datos!AE23-(Datos!U23+Datos!AM23))/(Datos!U23+Datos!AM23))," - ")</f>
        <v>3.959965187119234E-2</v>
      </c>
      <c r="G23" s="400">
        <f>IF(ISNUMBER(
   IF(D_I="SI",(Datos!L23-Datos!V23)/Datos!V23,(Datos!L23+Datos!AF23-(Datos!V23+Datos!AN23))/(Datos!V23+Datos!AN23))
     ),IF(D_I="SI",(Datos!L23-Datos!V23)/Datos!V23,(Datos!L23+Datos!AF23-(Datos!V23+Datos!AN23))/(Datos!V23+Datos!AN23))," - ")</f>
        <v>0.22519509476031216</v>
      </c>
      <c r="H23" s="401">
        <f>IF(ISNUMBER((Datos!M23-Datos!W23)/Datos!W23),(Datos!M23-Datos!W23)/Datos!W23," - ")</f>
        <v>0.36464088397790057</v>
      </c>
      <c r="I23" s="402">
        <f>IF(ISNUMBER((Tasas!C23-Datos!BE23)/Datos!BE23),(Tasas!C23-Datos!BE23)/Datos!BE23," - ")</f>
        <v>0.1785258801838415</v>
      </c>
      <c r="J23" s="400">
        <f>IF(ISNUMBER((Tasas!D23-Datos!BF23)/Datos!BF23),(Tasas!D23-Datos!BF23)/Datos!BF23," - ")</f>
        <v>0.31266000476400807</v>
      </c>
      <c r="K23" s="403">
        <f>IF(ISNUMBER((Tasas!E23-Datos!BG23)/Datos!BG23),(Tasas!E23-Datos!BG23)/Datos!BG23," - ")</f>
        <v>5.2427137554863931E-2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3.1321971441731919E-2</v>
      </c>
      <c r="E31" s="409">
        <f>IF(ISNUMBER(
   IF(J_V="SI",(Datos!J31-Datos!T31)/Datos!T31,(Datos!J31+Datos!Z31-(Datos!T31+Datos!AH31))/(Datos!T31+Datos!AH31))
     ),IF(J_V="SI",(Datos!J31-Datos!T31)/Datos!T31,(Datos!J31+Datos!Z31-(Datos!T31+Datos!AH31))/(Datos!T31+Datos!AH31))," - ")</f>
        <v>4.7619047619047616E-2</v>
      </c>
      <c r="F31" s="409">
        <f>IF(ISNUMBER(
   IF(J_V="SI",(Datos!K31-Datos!U31)/Datos!U31,(Datos!K31+Datos!AA31-(Datos!U31+Datos!AI31))/(Datos!U31+Datos!AI31))
     ),IF(J_V="SI",(Datos!K31-Datos!U31)/Datos!U31,(Datos!K31+Datos!AA31-(Datos!U31+Datos!AI31))/(Datos!U31+Datos!AI31))," - ")</f>
        <v>-7.0532237126784941E-2</v>
      </c>
      <c r="G31" s="410">
        <f>IF(ISNUMBER(
   IF(J_V="SI",(Datos!L31-Datos!V31)/Datos!V31,(Datos!L31+Datos!AB31-(Datos!V31+Datos!AJ31))/(Datos!V31+Datos!AJ31))
     ),IF(J_V="SI",(Datos!L31-Datos!V31)/Datos!V31,(Datos!L31+Datos!AB31-(Datos!V31+Datos!AJ31))/(Datos!V31+Datos!AJ31))," - ")</f>
        <v>0.27244305493523896</v>
      </c>
      <c r="H31" s="411">
        <f>IF(ISNUMBER((Datos!M31-Datos!W31)/Datos!W31),(Datos!M31-Datos!W31)/Datos!W31," - ")</f>
        <v>0.12984822934232715</v>
      </c>
      <c r="I31" s="408">
        <f>IF(ISNUMBER((Tasas!C31-Datos!BE31)/Datos!BE31),(Tasas!C31-Datos!BE31)/Datos!BE31," - ")</f>
        <v>0.36900181562166551</v>
      </c>
      <c r="J31" s="409">
        <f>IF(ISNUMBER((Tasas!D31-Datos!BF31)/Datos!BF31),(Tasas!D31-Datos!BF31)/Datos!BF31," - ")</f>
        <v>-0.4941455127576857</v>
      </c>
      <c r="K31" s="410">
        <f>IF(ISNUMBER((Tasas!E31-Datos!BG31)/Datos!BG31),(Tasas!E31-Datos!BG31)/Datos!BG31," - ")</f>
        <v>0.12156333019797333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9.371569979119973E-2</v>
      </c>
      <c r="E33" s="303">
        <f t="shared" si="1"/>
        <v>0.14616618983371979</v>
      </c>
      <c r="F33" s="303">
        <f t="shared" si="1"/>
        <v>0.15332071469293321</v>
      </c>
      <c r="G33" s="304">
        <f t="shared" si="1"/>
        <v>0.15122985313304985</v>
      </c>
      <c r="H33" s="310">
        <f t="shared" si="1"/>
        <v>0.30350455080221944</v>
      </c>
      <c r="I33" s="302">
        <f t="shared" si="1"/>
        <v>0.22468403093160022</v>
      </c>
      <c r="J33" s="303">
        <f t="shared" si="1"/>
        <v>0.57669607908508669</v>
      </c>
      <c r="K33" s="304">
        <f t="shared" si="1"/>
        <v>9.7115542683873401E-2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brF/BpxaGOz9XyTx2XV1gfm3uzH6FjFxo5i7ZVytH2LT1U2faBbWli4Drprlcj7Y/I7wCPSKIjLpfuDIAZuPw==" saltValue="EYe1BHCEmHl1/XgnGg1fi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